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Farina\Corsi\Applied-Acoustics\Tests-2023\"/>
    </mc:Choice>
  </mc:AlternateContent>
  <xr:revisionPtr revIDLastSave="0" documentId="13_ncr:1_{88EAEE90-B6C2-46DB-8F4C-1E61418DF9D8}" xr6:coauthVersionLast="47" xr6:coauthVersionMax="47" xr10:uidLastSave="{00000000-0000-0000-0000-000000000000}"/>
  <bookViews>
    <workbookView xWindow="-1763" yWindow="-21600" windowWidth="19201" windowHeight="21000" activeTab="1" xr2:uid="{00000000-000D-0000-FFFF-FFFF00000000}"/>
  </bookViews>
  <sheets>
    <sheet name="Form responses 1" sheetId="1" r:id="rId1"/>
    <sheet name="Solution" sheetId="2" r:id="rId2"/>
  </sheets>
  <definedNames>
    <definedName name="alpha">Solution!$G$31</definedName>
    <definedName name="b">Solution!$G$32</definedName>
    <definedName name="d">Solution!$G$33</definedName>
    <definedName name="delta">Solution!$B$54</definedName>
    <definedName name="dist">Solution!$D$41</definedName>
    <definedName name="L">Solution!$F$46</definedName>
    <definedName name="Nt">Solution!$B$47</definedName>
    <definedName name="SEL">Solution!$C$46</definedName>
    <definedName name="SELl">Solution!$F$48</definedName>
    <definedName name="SELtot">Solution!$F$49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 i="1" l="1"/>
  <c r="AT6" i="1"/>
  <c r="AT7" i="1"/>
  <c r="AT8" i="1"/>
  <c r="AP3" i="1"/>
  <c r="AP4" i="1"/>
  <c r="AP5" i="1"/>
  <c r="AP6" i="1"/>
  <c r="AP7" i="1"/>
  <c r="AP8" i="1"/>
  <c r="AP2" i="1"/>
  <c r="F50" i="2"/>
  <c r="AL3" i="1"/>
  <c r="AL2" i="1"/>
  <c r="AH6" i="1"/>
  <c r="AH5" i="1"/>
  <c r="AH4" i="1"/>
  <c r="AH3" i="1"/>
  <c r="AH2" i="1"/>
  <c r="AD4" i="1"/>
  <c r="AD3" i="1"/>
  <c r="U3" i="1"/>
  <c r="V3" i="1"/>
  <c r="W3" i="1"/>
  <c r="X3" i="1"/>
  <c r="Y3" i="1"/>
  <c r="Z3" i="1"/>
  <c r="U4" i="1"/>
  <c r="V4" i="1"/>
  <c r="W4" i="1"/>
  <c r="X4" i="1"/>
  <c r="Y4" i="1"/>
  <c r="Z4" i="1"/>
  <c r="U5" i="1"/>
  <c r="V5" i="1"/>
  <c r="W5" i="1"/>
  <c r="X5" i="1"/>
  <c r="Y5" i="1"/>
  <c r="Z5" i="1"/>
  <c r="U6" i="1"/>
  <c r="V6" i="1"/>
  <c r="W6" i="1"/>
  <c r="X6" i="1"/>
  <c r="Y6" i="1"/>
  <c r="Z6" i="1"/>
  <c r="U7" i="1"/>
  <c r="V7" i="1"/>
  <c r="W7" i="1"/>
  <c r="X7" i="1"/>
  <c r="Y7" i="1"/>
  <c r="Z7" i="1"/>
  <c r="U8" i="1"/>
  <c r="V8" i="1"/>
  <c r="W8" i="1"/>
  <c r="X8" i="1"/>
  <c r="Y8" i="1"/>
  <c r="Z8" i="1"/>
  <c r="Z2" i="1"/>
  <c r="Y2" i="1"/>
  <c r="X2" i="1"/>
  <c r="W2" i="1"/>
  <c r="V2" i="1"/>
  <c r="U2" i="1"/>
  <c r="N3" i="1"/>
  <c r="O3" i="1"/>
  <c r="P3" i="1"/>
  <c r="Q3" i="1"/>
  <c r="R3" i="1"/>
  <c r="S3" i="1"/>
  <c r="N4" i="1"/>
  <c r="O4" i="1"/>
  <c r="P4" i="1"/>
  <c r="Q4" i="1"/>
  <c r="R4" i="1"/>
  <c r="S4" i="1"/>
  <c r="N5" i="1"/>
  <c r="O5" i="1"/>
  <c r="P5" i="1"/>
  <c r="Q5" i="1"/>
  <c r="R5" i="1"/>
  <c r="S5" i="1"/>
  <c r="N6" i="1"/>
  <c r="O6" i="1"/>
  <c r="P6" i="1"/>
  <c r="Q6" i="1"/>
  <c r="R6" i="1"/>
  <c r="S6" i="1"/>
  <c r="N7" i="1"/>
  <c r="O7" i="1"/>
  <c r="P7" i="1"/>
  <c r="Q7" i="1"/>
  <c r="R7" i="1"/>
  <c r="S7" i="1"/>
  <c r="N8" i="1"/>
  <c r="O8" i="1"/>
  <c r="P8" i="1"/>
  <c r="Q8" i="1"/>
  <c r="R8" i="1"/>
  <c r="S8" i="1"/>
  <c r="S2" i="1"/>
  <c r="R2" i="1"/>
  <c r="Q2" i="1"/>
  <c r="P2" i="1"/>
  <c r="O2" i="1"/>
  <c r="N2" i="1"/>
  <c r="F5" i="1"/>
  <c r="G5" i="1" s="1"/>
  <c r="F6" i="1"/>
  <c r="G6" i="1" s="1"/>
  <c r="F7" i="1"/>
  <c r="G7" i="1" s="1"/>
  <c r="H7" i="1" s="1"/>
  <c r="I7" i="1" s="1"/>
  <c r="F8" i="1"/>
  <c r="G8" i="1" s="1"/>
  <c r="F4" i="1"/>
  <c r="F3" i="1"/>
  <c r="F2" i="1"/>
  <c r="G2" i="1" s="1"/>
  <c r="D56" i="2"/>
  <c r="B54" i="2"/>
  <c r="F49" i="2"/>
  <c r="B47" i="2"/>
  <c r="F46" i="2"/>
  <c r="C46" i="2"/>
  <c r="F48" i="2" s="1"/>
  <c r="B41" i="2"/>
  <c r="D41" i="2" s="1"/>
  <c r="D42" i="2" s="1"/>
  <c r="G31" i="2"/>
  <c r="G32" i="2"/>
  <c r="G33" i="2" s="1"/>
  <c r="B25" i="2"/>
  <c r="D25" i="2" s="1"/>
  <c r="D26" i="2" s="1"/>
  <c r="F26" i="2" s="1"/>
  <c r="AU3" i="1" l="1"/>
  <c r="H8" i="1"/>
  <c r="I8" i="1" s="1"/>
  <c r="J7" i="1"/>
  <c r="H5" i="1"/>
  <c r="H6" i="1"/>
  <c r="J8" i="1"/>
  <c r="K7" i="1"/>
  <c r="H2" i="1"/>
  <c r="G3" i="1"/>
  <c r="G4" i="1"/>
  <c r="H4" i="1" s="1"/>
  <c r="I4" i="1" s="1"/>
  <c r="G34" i="2"/>
  <c r="AB7" i="1" l="1"/>
  <c r="AR7" i="1"/>
  <c r="AJ7" i="1"/>
  <c r="AL7" i="1" s="1"/>
  <c r="AU7" i="1" s="1"/>
  <c r="AN7" i="1"/>
  <c r="K8" i="1"/>
  <c r="AJ8" i="1"/>
  <c r="AL8" i="1" s="1"/>
  <c r="AU8" i="1" s="1"/>
  <c r="I2" i="1"/>
  <c r="J2" i="1" s="1"/>
  <c r="I5" i="1"/>
  <c r="J5" i="1" s="1"/>
  <c r="I6" i="1"/>
  <c r="J6" i="1" s="1"/>
  <c r="J4" i="1"/>
  <c r="H3" i="1"/>
  <c r="AJ5" i="1" l="1"/>
  <c r="AJ6" i="1"/>
  <c r="AB8" i="1"/>
  <c r="AR8" i="1"/>
  <c r="AN8" i="1"/>
  <c r="K4" i="1"/>
  <c r="AJ4" i="1"/>
  <c r="AL4" i="1" s="1"/>
  <c r="AU4" i="1" s="1"/>
  <c r="K2" i="1"/>
  <c r="AJ2" i="1"/>
  <c r="K6" i="1"/>
  <c r="K5" i="1"/>
  <c r="I3" i="1"/>
  <c r="AB5" i="1" l="1"/>
  <c r="AD5" i="1" s="1"/>
  <c r="AU5" i="1" s="1"/>
  <c r="AR5" i="1"/>
  <c r="AB2" i="1"/>
  <c r="AD2" i="1" s="1"/>
  <c r="AU2" i="1" s="1"/>
  <c r="AR2" i="1"/>
  <c r="AB6" i="1"/>
  <c r="AD6" i="1" s="1"/>
  <c r="AU6" i="1" s="1"/>
  <c r="AR6" i="1"/>
  <c r="AB4" i="1"/>
  <c r="AR4" i="1"/>
  <c r="AN6" i="1"/>
  <c r="AN2" i="1"/>
  <c r="AN4" i="1"/>
  <c r="AN5" i="1"/>
  <c r="J3" i="1"/>
  <c r="K3" i="1" l="1"/>
  <c r="AJ3" i="1"/>
  <c r="AB3" i="1" l="1"/>
  <c r="AR3" i="1"/>
  <c r="AN3" i="1"/>
</calcChain>
</file>

<file path=xl/sharedStrings.xml><?xml version="1.0" encoding="utf-8"?>
<sst xmlns="http://schemas.openxmlformats.org/spreadsheetml/2006/main" count="205" uniqueCount="127">
  <si>
    <t>Timestamp</t>
  </si>
  <si>
    <t>Email address</t>
  </si>
  <si>
    <t>Surname and Name</t>
  </si>
  <si>
    <t>Matricula</t>
  </si>
  <si>
    <t>1) Check the sentences you think are TRUE</t>
  </si>
  <si>
    <t>2)  Ambisonics channels represent:</t>
  </si>
  <si>
    <t xml:space="preserve">3)  A cardioid microphone is recording two sound sources, one located in front (on axis), one located at an azimuth of 60+5*F degrees from front. What is the gain difference between the front and the lateral sources?       </t>
  </si>
  <si>
    <t xml:space="preserve">4) An ORTF microphone pair captures the sound from a far source, located on axis of the Left mike. Compute the time delay between the sound captured from the Left and Right mikes.           </t>
  </si>
  <si>
    <t>5) A microphone is placed 20+E cm in front of a reflecting wall. The sound is impinging on the microphone perpendicularly to the wall surface, and bounces back to the microphone.          Compute the time delay between the incident and reflected sounds.</t>
  </si>
  <si>
    <t>6) A passenger train has a length-normalised SEL, stored in the DISIA database for a length of 100m, of 100+E dB. During the day period (16 h) 20+D trains, each 200+F*10 m long, pass on the railways track. Compute the equivalent level at 7.5 m from the track.</t>
  </si>
  <si>
    <t>7) Compute the level attenuation of a noise barrier, using the Citymap simplified formula, in the case of a path increment, δ, equal to 1+F/10 m.</t>
  </si>
  <si>
    <t>mirko.monaco@studenti.unipr.it</t>
  </si>
  <si>
    <t>Monaco Mirko</t>
  </si>
  <si>
    <t>An omnidirectional microphone is only sensitive to sound pressure, A cardioid microphone is sensitive half to sound pressure, half to particle velocity</t>
  </si>
  <si>
    <t>Virtual microphones with complex directivity patterns, Different physical quantities (sound pressure, particle velocity, etc.), Sound arriving from different angular sectors, Wavefronts with different curvature, Spherical harmonics functions, Plane waves arriving from different directions</t>
  </si>
  <si>
    <t>-3.5 dB</t>
  </si>
  <si>
    <t>0.0005 s</t>
  </si>
  <si>
    <t>0.001412 s</t>
  </si>
  <si>
    <t>71 dB</t>
  </si>
  <si>
    <t>16.9 dB</t>
  </si>
  <si>
    <t>vinaysankar@outlook.com</t>
  </si>
  <si>
    <t>sankar vinay</t>
  </si>
  <si>
    <t>An omnidirectional microphone is only sensitive to sound pressure, A cardioid microphone is only sensitive to sound pressure, An omnidirectional microphone is sensitive half to sound pressure, half to particle velocity</t>
  </si>
  <si>
    <t>Virtual microphones with complex directivity patterns, Different physical quantities (sound pressure, particle velocity, etc.), Sound arriving from different angular sectors, Spherical harmonics functions</t>
  </si>
  <si>
    <t>6 dB</t>
  </si>
  <si>
    <t>17.85 dB</t>
  </si>
  <si>
    <t>legrouxthibaut@gmail.com</t>
  </si>
  <si>
    <t>Thibaut legroux</t>
  </si>
  <si>
    <t>Virtual microphones with complex directivity patterns, Different physical quantities (sound pressure, particle velocity, etc.), Sound arriving from different angular sectors, Spherical harmonics functions, Plane waves arriving from different directions</t>
  </si>
  <si>
    <t>0.48 ms</t>
  </si>
  <si>
    <t>1.235 ms</t>
  </si>
  <si>
    <t>16.13 dB</t>
  </si>
  <si>
    <t>md.abdullah@studenti.unipr.it</t>
  </si>
  <si>
    <t xml:space="preserve">Md Abdullah </t>
  </si>
  <si>
    <t>An omnidirectional microphone is only sensitive to sound pressure</t>
  </si>
  <si>
    <t>Virtual microphones with complex directivity patterns, Sound arriving from different angular sectors, Spherical harmonics functions</t>
  </si>
  <si>
    <t>2.67 dB</t>
  </si>
  <si>
    <t>0.000495 s</t>
  </si>
  <si>
    <t>1.4*10^-3</t>
  </si>
  <si>
    <t>280 m/s</t>
  </si>
  <si>
    <t>208m</t>
  </si>
  <si>
    <t>francesco.mortali@studenti.unipr.it</t>
  </si>
  <si>
    <t>Mortali Francesco</t>
  </si>
  <si>
    <t>Different physical quantities (sound pressure, particle velocity, etc.), Sound arriving from different angular sectors, Spherical harmonics functions, Plane waves arriving from different directions</t>
  </si>
  <si>
    <t>-4.02 dB</t>
  </si>
  <si>
    <t>1.353 * 10^-3 s</t>
  </si>
  <si>
    <t>violettegobert79@gmail.com</t>
  </si>
  <si>
    <t>Gobert Violette</t>
  </si>
  <si>
    <t>Different physical quantities (sound pressure, particle velocity, etc.), Spherical harmonics functions, Plane waves arriving from different directions</t>
  </si>
  <si>
    <t>0.4 ms</t>
  </si>
  <si>
    <t>1.41 ms</t>
  </si>
  <si>
    <t>110.58 dB</t>
  </si>
  <si>
    <t>andrea.ronga@studenti.unipr.it</t>
  </si>
  <si>
    <t>RONGA ANDREA</t>
  </si>
  <si>
    <t>Virtual microphones with complex directivity patterns, Different physical quantities (sound pressure, particle velocity, etc.), Spherical harmonics functions, Plane waves arriving from different directions</t>
  </si>
  <si>
    <t>5.6 dB</t>
  </si>
  <si>
    <t>1.17 ms</t>
  </si>
  <si>
    <t>N.</t>
  </si>
  <si>
    <t>A</t>
  </si>
  <si>
    <t>B</t>
  </si>
  <si>
    <t>C</t>
  </si>
  <si>
    <t>D</t>
  </si>
  <si>
    <t>E</t>
  </si>
  <si>
    <t>F</t>
  </si>
  <si>
    <t>Applied Acoustics - In-class test - 12/12/2023</t>
  </si>
  <si>
    <r>
      <t>1)</t>
    </r>
    <r>
      <rPr>
        <b/>
        <sz val="7"/>
        <color rgb="FF000000"/>
        <rFont val="Times New Roman"/>
        <family val="1"/>
      </rPr>
      <t xml:space="preserve">      </t>
    </r>
    <r>
      <rPr>
        <b/>
        <sz val="11"/>
        <color rgb="FF000000"/>
        <rFont val="Calibri"/>
        <family val="2"/>
      </rPr>
      <t>Check the sentences you think are always TRUE</t>
    </r>
  </si>
  <si>
    <t>(multiple answers allowed)</t>
  </si>
  <si>
    <r>
      <t>¨</t>
    </r>
    <r>
      <rPr>
        <sz val="7"/>
        <color rgb="FF202124"/>
        <rFont val="Times New Roman"/>
        <family val="1"/>
      </rPr>
      <t xml:space="preserve">  </t>
    </r>
    <r>
      <rPr>
        <sz val="11"/>
        <color rgb="FF202124"/>
        <rFont val="Calibri"/>
        <family val="2"/>
      </rPr>
      <t>An omnidirectional microphone is only sensitive to sound pressure</t>
    </r>
  </si>
  <si>
    <r>
      <t>¨</t>
    </r>
    <r>
      <rPr>
        <sz val="7"/>
        <color rgb="FF202124"/>
        <rFont val="Times New Roman"/>
        <family val="1"/>
      </rPr>
      <t xml:space="preserve">  </t>
    </r>
    <r>
      <rPr>
        <sz val="11"/>
        <color rgb="FF202124"/>
        <rFont val="Calibri"/>
        <family val="2"/>
      </rPr>
      <t>A cardioid microphone is only sensitive to sound pressure</t>
    </r>
  </si>
  <si>
    <r>
      <t>¨</t>
    </r>
    <r>
      <rPr>
        <sz val="7"/>
        <color rgb="FF202124"/>
        <rFont val="Times New Roman"/>
        <family val="1"/>
      </rPr>
      <t xml:space="preserve">  </t>
    </r>
    <r>
      <rPr>
        <sz val="11"/>
        <color rgb="FF202124"/>
        <rFont val="Calibri"/>
        <family val="2"/>
      </rPr>
      <t>An omnidirectional microphone is only sensitive to particle velocity</t>
    </r>
  </si>
  <si>
    <r>
      <t>¨</t>
    </r>
    <r>
      <rPr>
        <sz val="7"/>
        <color rgb="FF202124"/>
        <rFont val="Times New Roman"/>
        <family val="1"/>
      </rPr>
      <t xml:space="preserve">  </t>
    </r>
    <r>
      <rPr>
        <sz val="11"/>
        <color rgb="FF202124"/>
        <rFont val="Calibri"/>
        <family val="2"/>
      </rPr>
      <t xml:space="preserve">A cardioid microphone is only sensitive to particle velocity </t>
    </r>
  </si>
  <si>
    <r>
      <t>¨</t>
    </r>
    <r>
      <rPr>
        <sz val="7"/>
        <color rgb="FF202124"/>
        <rFont val="Times New Roman"/>
        <family val="1"/>
      </rPr>
      <t xml:space="preserve">  </t>
    </r>
    <r>
      <rPr>
        <sz val="11"/>
        <color rgb="FF202124"/>
        <rFont val="Calibri"/>
        <family val="2"/>
      </rPr>
      <t>An omnidirectional microphone is sensitive half to sound pressure, half to particle velocity</t>
    </r>
  </si>
  <si>
    <r>
      <t>¨</t>
    </r>
    <r>
      <rPr>
        <sz val="7"/>
        <color rgb="FF202124"/>
        <rFont val="Times New Roman"/>
        <family val="1"/>
      </rPr>
      <t xml:space="preserve">  </t>
    </r>
    <r>
      <rPr>
        <sz val="11"/>
        <color rgb="FF202124"/>
        <rFont val="Calibri"/>
        <family val="2"/>
      </rPr>
      <t>A cardioid microphone is sensitive half to sound pressure, half to particle velocity</t>
    </r>
  </si>
  <si>
    <r>
      <t>2)</t>
    </r>
    <r>
      <rPr>
        <b/>
        <sz val="7"/>
        <color rgb="FF000000"/>
        <rFont val="Times New Roman"/>
        <family val="1"/>
      </rPr>
      <t xml:space="preserve">      </t>
    </r>
    <r>
      <rPr>
        <b/>
        <sz val="11"/>
        <color rgb="FF000000"/>
        <rFont val="Calibri"/>
        <family val="2"/>
      </rPr>
      <t>Ambisonics channels represent:</t>
    </r>
  </si>
  <si>
    <r>
      <t>¨</t>
    </r>
    <r>
      <rPr>
        <sz val="7"/>
        <color rgb="FF202124"/>
        <rFont val="Times New Roman"/>
        <family val="1"/>
      </rPr>
      <t xml:space="preserve">  </t>
    </r>
    <r>
      <rPr>
        <sz val="11"/>
        <color rgb="FF202124"/>
        <rFont val="Calibri"/>
        <family val="2"/>
      </rPr>
      <t>Virtual microphones with complex directivity patterns</t>
    </r>
  </si>
  <si>
    <r>
      <t>¨</t>
    </r>
    <r>
      <rPr>
        <sz val="7"/>
        <color rgb="FF202124"/>
        <rFont val="Times New Roman"/>
        <family val="1"/>
      </rPr>
      <t xml:space="preserve">  </t>
    </r>
    <r>
      <rPr>
        <sz val="11"/>
        <color rgb="FF202124"/>
        <rFont val="Calibri"/>
        <family val="2"/>
      </rPr>
      <t>Different physical quantities (sound pressure, particle velocity, etc.)</t>
    </r>
  </si>
  <si>
    <r>
      <t>¨</t>
    </r>
    <r>
      <rPr>
        <sz val="7"/>
        <color rgb="FF202124"/>
        <rFont val="Times New Roman"/>
        <family val="1"/>
      </rPr>
      <t xml:space="preserve">  </t>
    </r>
    <r>
      <rPr>
        <sz val="11"/>
        <color rgb="FF202124"/>
        <rFont val="Calibri"/>
        <family val="2"/>
      </rPr>
      <t>Sound arriving from different angular sectors</t>
    </r>
  </si>
  <si>
    <r>
      <t>¨</t>
    </r>
    <r>
      <rPr>
        <sz val="7"/>
        <color rgb="FF202124"/>
        <rFont val="Times New Roman"/>
        <family val="1"/>
      </rPr>
      <t xml:space="preserve">  </t>
    </r>
    <r>
      <rPr>
        <sz val="11"/>
        <color rgb="FF202124"/>
        <rFont val="Calibri"/>
        <family val="2"/>
      </rPr>
      <t>Wavefronts with different curvature</t>
    </r>
  </si>
  <si>
    <r>
      <t>¨</t>
    </r>
    <r>
      <rPr>
        <sz val="7"/>
        <color rgb="FF202124"/>
        <rFont val="Times New Roman"/>
        <family val="1"/>
      </rPr>
      <t xml:space="preserve">  </t>
    </r>
    <r>
      <rPr>
        <sz val="11"/>
        <color rgb="FF202124"/>
        <rFont val="Calibri"/>
        <family val="2"/>
      </rPr>
      <t>Spherical harmonics functions</t>
    </r>
  </si>
  <si>
    <r>
      <t>¨</t>
    </r>
    <r>
      <rPr>
        <sz val="7"/>
        <color rgb="FF202124"/>
        <rFont val="Times New Roman"/>
        <family val="1"/>
      </rPr>
      <t xml:space="preserve">  </t>
    </r>
    <r>
      <rPr>
        <sz val="11"/>
        <color rgb="FF202124"/>
        <rFont val="Calibri"/>
        <family val="2"/>
      </rPr>
      <t>Plane waves arriving from different directions</t>
    </r>
  </si>
  <si>
    <r>
      <t>3)</t>
    </r>
    <r>
      <rPr>
        <b/>
        <sz val="7"/>
        <color rgb="FF000000"/>
        <rFont val="Times New Roman"/>
        <family val="1"/>
      </rPr>
      <t xml:space="preserve">      </t>
    </r>
    <r>
      <rPr>
        <b/>
        <sz val="11"/>
        <color rgb="FF202124"/>
        <rFont val="Calibri"/>
        <family val="2"/>
      </rPr>
      <t>A cardioid microphone is recording two sound sources, one located in front (on axis), one located at an azimuth of 60+5*F degrees from front. What is the gain difference between the front and the lateral sources?</t>
    </r>
  </si>
  <si>
    <t>(write number and measurement unit)</t>
  </si>
  <si>
    <r>
      <t>4)</t>
    </r>
    <r>
      <rPr>
        <b/>
        <sz val="7"/>
        <color rgb="FF000000"/>
        <rFont val="Times New Roman"/>
        <family val="1"/>
      </rPr>
      <t xml:space="preserve">      </t>
    </r>
    <r>
      <rPr>
        <b/>
        <sz val="11"/>
        <color rgb="FF000000"/>
        <rFont val="Calibri"/>
        <family val="2"/>
      </rPr>
      <t>An ORTF microphone pair captures the sound from a far source, located on axis of the Left mike. Compute the time delay between the sound captured from the Left and Right mikes.</t>
    </r>
  </si>
  <si>
    <t xml:space="preserve"> </t>
  </si>
  <si>
    <r>
      <t>5)</t>
    </r>
    <r>
      <rPr>
        <b/>
        <sz val="7"/>
        <color rgb="FF000000"/>
        <rFont val="Times New Roman"/>
        <family val="1"/>
      </rPr>
      <t xml:space="preserve">      </t>
    </r>
    <r>
      <rPr>
        <b/>
        <sz val="11"/>
        <color rgb="FF000000"/>
        <rFont val="Calibri"/>
        <family val="2"/>
      </rPr>
      <t>A microphone is placed 20+E cm in front of a reflecting wall. The sound is impinging on the microphone perpendicularly to the wall surface, and bounces back to the microphone.</t>
    </r>
  </si>
  <si>
    <t>Compute the time delay between the incident and reflected sounds.</t>
  </si>
  <si>
    <r>
      <t>7)</t>
    </r>
    <r>
      <rPr>
        <b/>
        <sz val="7"/>
        <color rgb="FF000000"/>
        <rFont val="Times New Roman"/>
        <family val="1"/>
      </rPr>
      <t xml:space="preserve">      </t>
    </r>
    <r>
      <rPr>
        <b/>
        <sz val="11"/>
        <color rgb="FF000000"/>
        <rFont val="Calibri"/>
        <family val="2"/>
      </rPr>
      <t>Compute the level attenuation of a noise barrier, using the Citymap simplified formula, in the case of a path increment, δ, equal to 1+F/10 m.</t>
    </r>
  </si>
  <si>
    <t>Theta =</t>
  </si>
  <si>
    <t>°</t>
  </si>
  <si>
    <t>rad</t>
  </si>
  <si>
    <t>Gain = 0.5+0.5*cos(theta) =</t>
  </si>
  <si>
    <t>=</t>
  </si>
  <si>
    <t>dB</t>
  </si>
  <si>
    <t xml:space="preserve"> S</t>
  </si>
  <si>
    <t xml:space="preserve">    b=170mm</t>
  </si>
  <si>
    <t xml:space="preserve">        d</t>
  </si>
  <si>
    <t xml:space="preserve">             35° </t>
  </si>
  <si>
    <t xml:space="preserve"> 55° </t>
  </si>
  <si>
    <t xml:space="preserve">              110°</t>
  </si>
  <si>
    <t>b =</t>
  </si>
  <si>
    <t>mm</t>
  </si>
  <si>
    <t>m</t>
  </si>
  <si>
    <t>dtau = d/c0 =</t>
  </si>
  <si>
    <t>ms</t>
  </si>
  <si>
    <t>Alpha =</t>
  </si>
  <si>
    <t>d = b*sin(alpha/2) =</t>
  </si>
  <si>
    <t>dist =</t>
  </si>
  <si>
    <t>cm</t>
  </si>
  <si>
    <t>dtau = 2*dist/c0 =</t>
  </si>
  <si>
    <t>SEL,1t,100m =</t>
  </si>
  <si>
    <t>L =</t>
  </si>
  <si>
    <t>Nt =</t>
  </si>
  <si>
    <t>per day</t>
  </si>
  <si>
    <t>SEL,1t,L = SEL,1t,100m+10*log10(L/100) =</t>
  </si>
  <si>
    <t>SEL,tot = SEL,1t,L + 10*log10(Nt) =</t>
  </si>
  <si>
    <t>dB(A</t>
  </si>
  <si>
    <t>dB(A)</t>
  </si>
  <si>
    <t>La,eq = SEL,tot -10*log10(16*3600) =</t>
  </si>
  <si>
    <r>
      <t>6)</t>
    </r>
    <r>
      <rPr>
        <b/>
        <sz val="7"/>
        <color rgb="FF000000"/>
        <rFont val="Times New Roman"/>
        <family val="1"/>
      </rPr>
      <t xml:space="preserve">      </t>
    </r>
    <r>
      <rPr>
        <b/>
        <sz val="11"/>
        <color rgb="FF000000"/>
        <rFont val="Calibri"/>
        <family val="2"/>
      </rPr>
      <t>A passenger train has a length-normalised SEL, stored in the DISIA database for a length of 100m, of 100+E dB(A). During the day period (16 h) 20+D trains, each 200+F*10 m long, pass on the railways track. Compute the equivalent level at 7.5 m from the track.</t>
    </r>
  </si>
  <si>
    <t>Delta =</t>
  </si>
  <si>
    <t>Online</t>
  </si>
  <si>
    <t>OK Value</t>
  </si>
  <si>
    <t>OK unit</t>
  </si>
  <si>
    <t>Score</t>
  </si>
  <si>
    <t>Note: formatting errors causing the loss of 1 point</t>
  </si>
  <si>
    <t>Wrong or missing unit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</si>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</sst>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9" formatCode="0.000"/>
    <numFmt numFmtId="170" formatCode="0.0"/>
  </numFmts>
  <fonts count="20" x14ac:knownFonts="1">
    <font>
      <sz val="10"/>
      <color rgb="FF000000"/>
      <name val="Arial"/>
      <scheme val="minor"/>
    </font>
    <font>
      <sz val="10"/>
      <color theme="1"/>
      <name val="Arial"/>
      <scheme val="minor"/>
    </font>
    <font>
      <b/>
      <sz val="11"/>
      <color theme="1"/>
      <name val="Arial"/>
      <family val="2"/>
      <scheme val="minor"/>
    </font>
    <font>
      <sz val="10"/>
      <color theme="1"/>
      <name val="Arial"/>
      <family val="2"/>
    </font>
    <font>
      <sz val="11"/>
      <color rgb="FF000000"/>
      <name val="Calibri"/>
      <family val="2"/>
    </font>
    <font>
      <b/>
      <sz val="11"/>
      <color rgb="FF000000"/>
      <name val="Calibri"/>
      <family val="2"/>
    </font>
    <font>
      <b/>
      <sz val="7"/>
      <color rgb="FF000000"/>
      <name val="Times New Roman"/>
      <family val="1"/>
    </font>
    <font>
      <sz val="11"/>
      <color rgb="FF202124"/>
      <name val="Wingdings"/>
      <charset val="2"/>
    </font>
    <font>
      <sz val="7"/>
      <color rgb="FF202124"/>
      <name val="Times New Roman"/>
      <family val="1"/>
    </font>
    <font>
      <sz val="11"/>
      <color rgb="FF202124"/>
      <name val="Calibri"/>
      <family val="2"/>
    </font>
    <font>
      <b/>
      <sz val="11"/>
      <color rgb="FF202124"/>
      <name val="Calibri"/>
      <family val="2"/>
    </font>
    <font>
      <sz val="10"/>
      <color rgb="FF000000"/>
      <name val="Calibri"/>
      <family val="2"/>
    </font>
    <font>
      <sz val="10"/>
      <color rgb="FF000000"/>
      <name val="Arial"/>
      <family val="2"/>
      <scheme val="minor"/>
    </font>
    <font>
      <sz val="6"/>
      <color rgb="FF000000"/>
      <name val="Calibri"/>
      <family val="2"/>
    </font>
    <font>
      <sz val="6"/>
      <color rgb="FF000000"/>
      <name val="Arial"/>
      <family val="2"/>
      <scheme val="minor"/>
    </font>
    <font>
      <sz val="10"/>
      <color rgb="FF0000FF"/>
      <name val="Arial"/>
      <family val="2"/>
    </font>
    <font>
      <sz val="10"/>
      <color theme="1"/>
      <name val="Calibri"/>
      <family val="2"/>
    </font>
    <font>
      <sz val="11"/>
      <color theme="1"/>
      <name val="Calibri"/>
      <family val="2"/>
    </font>
    <font>
      <b/>
      <sz val="10"/>
      <color rgb="FF000000"/>
      <name val="Calibri"/>
      <family val="2"/>
    </font>
    <font>
      <b/>
      <sz val="10"/>
      <color rgb="FF000000"/>
      <name val="Arial"/>
      <family val="2"/>
      <scheme val="minor"/>
    </font>
  </fonts>
  <fills count="8">
    <fill>
      <patternFill patternType="none"/>
    </fill>
    <fill>
      <patternFill patternType="gray125"/>
    </fill>
    <fill>
      <patternFill patternType="solid">
        <fgColor rgb="FFFFFF00"/>
        <bgColor indexed="64"/>
      </patternFill>
    </fill>
    <fill>
      <patternFill patternType="solid">
        <fgColor rgb="FFBFBFBF"/>
        <bgColor rgb="FFBFBFBF"/>
      </patternFill>
    </fill>
    <fill>
      <patternFill patternType="solid">
        <fgColor rgb="FFD8D8D8"/>
        <bgColor rgb="FFD8D8D8"/>
      </patternFill>
    </fill>
    <fill>
      <patternFill patternType="solid">
        <fgColor rgb="FFFF0000"/>
        <bgColor rgb="FFFF0000"/>
      </patternFill>
    </fill>
    <fill>
      <patternFill patternType="solid">
        <fgColor rgb="FFFF0000"/>
        <bgColor indexed="64"/>
      </patternFill>
    </fill>
    <fill>
      <patternFill patternType="solid">
        <fgColor theme="0" tint="-0.14999847407452621"/>
        <bgColor indexed="64"/>
      </patternFill>
    </fill>
  </fills>
  <borders count="17">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
    <xf numFmtId="0" fontId="0" fillId="0" borderId="0"/>
  </cellStyleXfs>
  <cellXfs count="73">
    <xf numFmtId="0" fontId="0" fillId="0" borderId="0" xfId="0"/>
    <xf numFmtId="0" fontId="2" fillId="0" borderId="0" xfId="0" applyFont="1"/>
    <xf numFmtId="0" fontId="5" fillId="0" borderId="0" xfId="0" applyFont="1" applyAlignment="1">
      <alignment horizontal="left" vertical="center" indent="2"/>
    </xf>
    <xf numFmtId="0" fontId="4" fillId="0" borderId="0" xfId="0" applyFont="1" applyAlignment="1">
      <alignment horizontal="left" vertical="center" indent="2"/>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7" fillId="2" borderId="0" xfId="0" applyFont="1" applyFill="1" applyAlignment="1">
      <alignment horizontal="left" vertical="center"/>
    </xf>
    <xf numFmtId="0" fontId="0" fillId="2" borderId="0" xfId="0" applyFill="1"/>
    <xf numFmtId="0" fontId="12" fillId="0" borderId="0" xfId="0" applyFont="1"/>
    <xf numFmtId="0" fontId="12" fillId="0" borderId="0" xfId="0" quotePrefix="1" applyFont="1"/>
    <xf numFmtId="0" fontId="12" fillId="2" borderId="2" xfId="0" applyFont="1" applyFill="1" applyBorder="1"/>
    <xf numFmtId="2" fontId="0" fillId="2" borderId="1" xfId="0" applyNumberFormat="1" applyFill="1" applyBorder="1"/>
    <xf numFmtId="2" fontId="12" fillId="2" borderId="2" xfId="0" applyNumberFormat="1" applyFont="1" applyFill="1" applyBorder="1"/>
    <xf numFmtId="0" fontId="5" fillId="0" borderId="0" xfId="0" applyFont="1" applyAlignment="1">
      <alignment vertical="center" wrapText="1"/>
    </xf>
    <xf numFmtId="0" fontId="0" fillId="0" borderId="0" xfId="0" applyAlignment="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horizontal="left" wrapText="1"/>
    </xf>
    <xf numFmtId="0" fontId="13" fillId="0" borderId="0" xfId="0" applyFont="1" applyAlignment="1">
      <alignment horizontal="left" vertical="center"/>
    </xf>
    <xf numFmtId="0" fontId="14" fillId="0" borderId="0" xfId="0" applyFont="1" applyAlignment="1">
      <alignment horizontal="center"/>
    </xf>
    <xf numFmtId="169" fontId="0" fillId="2" borderId="1" xfId="0" applyNumberFormat="1" applyFill="1" applyBorder="1"/>
    <xf numFmtId="0" fontId="12" fillId="0" borderId="0" xfId="0" applyFont="1" applyAlignment="1">
      <alignment horizontal="right"/>
    </xf>
    <xf numFmtId="0" fontId="12" fillId="0" borderId="0" xfId="0" applyFont="1" applyAlignment="1">
      <alignment horizontal="left"/>
    </xf>
    <xf numFmtId="170" fontId="0" fillId="2" borderId="1" xfId="0" applyNumberFormat="1" applyFill="1" applyBorder="1"/>
    <xf numFmtId="0" fontId="12" fillId="0" borderId="0" xfId="0" quotePrefix="1" applyFont="1" applyAlignment="1">
      <alignment horizontal="right"/>
    </xf>
    <xf numFmtId="0" fontId="0" fillId="0" borderId="0" xfId="0" applyAlignment="1">
      <alignment horizontal="right"/>
    </xf>
    <xf numFmtId="0" fontId="11" fillId="0" borderId="0" xfId="0" applyFont="1" applyAlignment="1">
      <alignment horizontal="right" vertical="center"/>
    </xf>
    <xf numFmtId="0" fontId="15" fillId="3" borderId="9" xfId="0" applyFont="1" applyFill="1" applyBorder="1" applyAlignment="1">
      <alignment horizontal="center" wrapText="1"/>
    </xf>
    <xf numFmtId="0" fontId="3" fillId="0" borderId="10" xfId="0" applyFont="1" applyBorder="1" applyAlignment="1">
      <alignment horizontal="center"/>
    </xf>
    <xf numFmtId="0" fontId="16" fillId="4" borderId="9" xfId="0" applyFont="1" applyFill="1" applyBorder="1" applyAlignment="1">
      <alignment horizontal="center"/>
    </xf>
    <xf numFmtId="0" fontId="17" fillId="0" borderId="10" xfId="0" applyFont="1" applyBorder="1" applyAlignment="1">
      <alignment horizontal="center"/>
    </xf>
    <xf numFmtId="0" fontId="17" fillId="4" borderId="9" xfId="0" applyFont="1" applyFill="1" applyBorder="1" applyAlignment="1">
      <alignment horizontal="right"/>
    </xf>
    <xf numFmtId="0" fontId="17" fillId="4" borderId="9" xfId="0" applyFont="1" applyFill="1" applyBorder="1"/>
    <xf numFmtId="0" fontId="17" fillId="4" borderId="9" xfId="0" applyFont="1" applyFill="1" applyBorder="1" applyAlignment="1">
      <alignment horizontal="center"/>
    </xf>
    <xf numFmtId="170" fontId="17" fillId="0" borderId="10" xfId="0" applyNumberFormat="1" applyFont="1" applyBorder="1"/>
    <xf numFmtId="0" fontId="11" fillId="0" borderId="10" xfId="0" applyFont="1" applyBorder="1"/>
    <xf numFmtId="169" fontId="17" fillId="0" borderId="10" xfId="0" applyNumberFormat="1" applyFont="1" applyBorder="1"/>
    <xf numFmtId="0" fontId="18" fillId="0" borderId="0" xfId="0" applyFont="1"/>
    <xf numFmtId="0" fontId="11" fillId="0" borderId="0" xfId="0" applyFont="1"/>
    <xf numFmtId="0" fontId="11" fillId="5" borderId="0" xfId="0" applyFont="1" applyFill="1"/>
    <xf numFmtId="0" fontId="17" fillId="5" borderId="0" xfId="0" applyFont="1" applyFill="1"/>
    <xf numFmtId="0" fontId="0" fillId="0" borderId="12" xfId="0" applyBorder="1" applyAlignment="1">
      <alignment horizontal="center"/>
    </xf>
    <xf numFmtId="164" fontId="1" fillId="0" borderId="10" xfId="0" applyNumberFormat="1" applyFont="1" applyBorder="1" applyAlignment="1">
      <alignment horizontal="right"/>
    </xf>
    <xf numFmtId="0" fontId="1" fillId="0" borderId="10" xfId="0" applyFont="1" applyBorder="1"/>
    <xf numFmtId="0" fontId="1" fillId="0" borderId="10" xfId="0" applyFont="1" applyBorder="1" applyAlignment="1">
      <alignment horizontal="center"/>
    </xf>
    <xf numFmtId="0" fontId="19" fillId="0" borderId="13" xfId="0" applyFont="1" applyBorder="1" applyAlignment="1">
      <alignment horizontal="center"/>
    </xf>
    <xf numFmtId="0" fontId="0" fillId="0" borderId="10" xfId="0" applyBorder="1"/>
    <xf numFmtId="0" fontId="1" fillId="6" borderId="10" xfId="0" applyFont="1" applyFill="1" applyBorder="1"/>
    <xf numFmtId="0" fontId="0" fillId="0" borderId="14" xfId="0" applyBorder="1" applyAlignment="1">
      <alignment horizontal="center"/>
    </xf>
    <xf numFmtId="164" fontId="1" fillId="0" borderId="15" xfId="0" applyNumberFormat="1" applyFont="1" applyBorder="1" applyAlignment="1">
      <alignment horizontal="right"/>
    </xf>
    <xf numFmtId="0" fontId="1" fillId="0" borderId="15" xfId="0" applyFont="1" applyBorder="1"/>
    <xf numFmtId="0" fontId="1" fillId="0" borderId="15" xfId="0" applyFont="1" applyBorder="1" applyAlignment="1">
      <alignment horizontal="center"/>
    </xf>
    <xf numFmtId="0" fontId="3" fillId="0" borderId="15" xfId="0" applyFont="1" applyBorder="1" applyAlignment="1">
      <alignment horizontal="center"/>
    </xf>
    <xf numFmtId="0" fontId="17" fillId="0" borderId="15" xfId="0" applyFont="1" applyBorder="1" applyAlignment="1">
      <alignment horizontal="center"/>
    </xf>
    <xf numFmtId="170" fontId="17" fillId="0" borderId="15" xfId="0" applyNumberFormat="1" applyFont="1" applyBorder="1"/>
    <xf numFmtId="0" fontId="11" fillId="0" borderId="15" xfId="0" applyFont="1" applyBorder="1"/>
    <xf numFmtId="169" fontId="17" fillId="0" borderId="15" xfId="0" applyNumberFormat="1" applyFont="1" applyBorder="1"/>
    <xf numFmtId="0" fontId="0" fillId="0" borderId="15" xfId="0" applyBorder="1"/>
    <xf numFmtId="0" fontId="19" fillId="0" borderId="16" xfId="0" applyFont="1" applyBorder="1" applyAlignment="1">
      <alignment horizontal="center"/>
    </xf>
    <xf numFmtId="0" fontId="16" fillId="4" borderId="9" xfId="0" applyFont="1" applyFill="1" applyBorder="1" applyAlignment="1">
      <alignment horizontal="left"/>
    </xf>
    <xf numFmtId="0" fontId="1" fillId="7" borderId="9" xfId="0" applyFont="1" applyFill="1" applyBorder="1"/>
    <xf numFmtId="0" fontId="19" fillId="2" borderId="11" xfId="0" applyFont="1" applyFill="1" applyBorder="1" applyAlignment="1">
      <alignment horizontal="center"/>
    </xf>
  </cellXfs>
  <cellStyles count="1">
    <cellStyle name="Normal" xfId="0" builtinId="0"/>
  </cellStyles>
  <dxfs count="24">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theme="1"/>
      </font>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31506</xdr:colOff>
      <xdr:row>33</xdr:row>
      <xdr:rowOff>54604</xdr:rowOff>
    </xdr:from>
    <xdr:to>
      <xdr:col>0</xdr:col>
      <xdr:colOff>478449</xdr:colOff>
      <xdr:row>33</xdr:row>
      <xdr:rowOff>157181</xdr:rowOff>
    </xdr:to>
    <xdr:sp macro="" textlink="">
      <xdr:nvSpPr>
        <xdr:cNvPr id="8" name="Rectangle 7">
          <a:extLst>
            <a:ext uri="{FF2B5EF4-FFF2-40B4-BE49-F238E27FC236}">
              <a16:creationId xmlns:a16="http://schemas.microsoft.com/office/drawing/2014/main" id="{B11F3614-FBD0-4F39-A032-AFA5DF104B43}"/>
            </a:ext>
          </a:extLst>
        </xdr:cNvPr>
        <xdr:cNvSpPr/>
      </xdr:nvSpPr>
      <xdr:spPr>
        <a:xfrm rot="2016268" flipV="1">
          <a:off x="31506" y="6357152"/>
          <a:ext cx="446943" cy="102577"/>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469656</xdr:colOff>
      <xdr:row>33</xdr:row>
      <xdr:rowOff>53138</xdr:rowOff>
    </xdr:from>
    <xdr:to>
      <xdr:col>1</xdr:col>
      <xdr:colOff>268166</xdr:colOff>
      <xdr:row>33</xdr:row>
      <xdr:rowOff>155715</xdr:rowOff>
    </xdr:to>
    <xdr:sp macro="" textlink="">
      <xdr:nvSpPr>
        <xdr:cNvPr id="10" name="Rectangle 9">
          <a:extLst>
            <a:ext uri="{FF2B5EF4-FFF2-40B4-BE49-F238E27FC236}">
              <a16:creationId xmlns:a16="http://schemas.microsoft.com/office/drawing/2014/main" id="{D86A386C-7B41-4FB1-B43C-CD73C2648A9B}"/>
            </a:ext>
          </a:extLst>
        </xdr:cNvPr>
        <xdr:cNvSpPr/>
      </xdr:nvSpPr>
      <xdr:spPr>
        <a:xfrm rot="19583732" flipH="1" flipV="1">
          <a:off x="469656" y="6355686"/>
          <a:ext cx="445589" cy="102577"/>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54952</xdr:colOff>
      <xdr:row>34</xdr:row>
      <xdr:rowOff>131286</xdr:rowOff>
    </xdr:from>
    <xdr:to>
      <xdr:col>1</xdr:col>
      <xdr:colOff>227134</xdr:colOff>
      <xdr:row>34</xdr:row>
      <xdr:rowOff>131286</xdr:rowOff>
    </xdr:to>
    <xdr:cxnSp macro="">
      <xdr:nvCxnSpPr>
        <xdr:cNvPr id="12" name="Straight Arrow Connector 11">
          <a:extLst>
            <a:ext uri="{FF2B5EF4-FFF2-40B4-BE49-F238E27FC236}">
              <a16:creationId xmlns:a16="http://schemas.microsoft.com/office/drawing/2014/main" id="{C577BD69-617E-51A1-3EC1-6F0767508D19}"/>
            </a:ext>
          </a:extLst>
        </xdr:cNvPr>
        <xdr:cNvCxnSpPr/>
      </xdr:nvCxnSpPr>
      <xdr:spPr>
        <a:xfrm flipV="1">
          <a:off x="54952" y="6625604"/>
          <a:ext cx="819449"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270410</xdr:colOff>
      <xdr:row>33</xdr:row>
      <xdr:rowOff>20961</xdr:rowOff>
    </xdr:from>
    <xdr:to>
      <xdr:col>1</xdr:col>
      <xdr:colOff>67681</xdr:colOff>
      <xdr:row>35</xdr:row>
      <xdr:rowOff>112931</xdr:rowOff>
    </xdr:to>
    <xdr:sp macro="" textlink="">
      <xdr:nvSpPr>
        <xdr:cNvPr id="13" name="Arc 12">
          <a:extLst>
            <a:ext uri="{FF2B5EF4-FFF2-40B4-BE49-F238E27FC236}">
              <a16:creationId xmlns:a16="http://schemas.microsoft.com/office/drawing/2014/main" id="{EE2388DE-11C3-440F-28B3-6C249BEF1D0E}"/>
            </a:ext>
          </a:extLst>
        </xdr:cNvPr>
        <xdr:cNvSpPr/>
      </xdr:nvSpPr>
      <xdr:spPr>
        <a:xfrm rot="18784643">
          <a:off x="284336" y="6338995"/>
          <a:ext cx="416686" cy="444538"/>
        </a:xfrm>
        <a:prstGeom prst="arc">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xdr:col>
      <xdr:colOff>3663</xdr:colOff>
      <xdr:row>29</xdr:row>
      <xdr:rowOff>157529</xdr:rowOff>
    </xdr:from>
    <xdr:to>
      <xdr:col>1</xdr:col>
      <xdr:colOff>600489</xdr:colOff>
      <xdr:row>35</xdr:row>
      <xdr:rowOff>31059</xdr:rowOff>
    </xdr:to>
    <xdr:cxnSp macro="">
      <xdr:nvCxnSpPr>
        <xdr:cNvPr id="15" name="Straight Connector 14">
          <a:extLst>
            <a:ext uri="{FF2B5EF4-FFF2-40B4-BE49-F238E27FC236}">
              <a16:creationId xmlns:a16="http://schemas.microsoft.com/office/drawing/2014/main" id="{7F6CB46E-1E56-A09F-76CA-DF6019A5826E}"/>
            </a:ext>
          </a:extLst>
        </xdr:cNvPr>
        <xdr:cNvCxnSpPr/>
      </xdr:nvCxnSpPr>
      <xdr:spPr>
        <a:xfrm>
          <a:off x="650742" y="5768996"/>
          <a:ext cx="596826" cy="9010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86457</xdr:colOff>
      <xdr:row>29</xdr:row>
      <xdr:rowOff>112102</xdr:rowOff>
    </xdr:from>
    <xdr:to>
      <xdr:col>2</xdr:col>
      <xdr:colOff>28471</xdr:colOff>
      <xdr:row>34</xdr:row>
      <xdr:rowOff>132003</xdr:rowOff>
    </xdr:to>
    <xdr:cxnSp macro="">
      <xdr:nvCxnSpPr>
        <xdr:cNvPr id="16" name="Straight Connector 15">
          <a:extLst>
            <a:ext uri="{FF2B5EF4-FFF2-40B4-BE49-F238E27FC236}">
              <a16:creationId xmlns:a16="http://schemas.microsoft.com/office/drawing/2014/main" id="{1F488622-739D-4E9E-B1BA-BCAC61D3CF0F}"/>
            </a:ext>
          </a:extLst>
        </xdr:cNvPr>
        <xdr:cNvCxnSpPr/>
      </xdr:nvCxnSpPr>
      <xdr:spPr>
        <a:xfrm>
          <a:off x="733536" y="5723569"/>
          <a:ext cx="589093" cy="8818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176578</xdr:colOff>
      <xdr:row>29</xdr:row>
      <xdr:rowOff>66675</xdr:rowOff>
    </xdr:from>
    <xdr:to>
      <xdr:col>2</xdr:col>
      <xdr:colOff>98356</xdr:colOff>
      <xdr:row>34</xdr:row>
      <xdr:rowOff>46589</xdr:rowOff>
    </xdr:to>
    <xdr:cxnSp macro="">
      <xdr:nvCxnSpPr>
        <xdr:cNvPr id="17" name="Straight Connector 16">
          <a:extLst>
            <a:ext uri="{FF2B5EF4-FFF2-40B4-BE49-F238E27FC236}">
              <a16:creationId xmlns:a16="http://schemas.microsoft.com/office/drawing/2014/main" id="{47FC6642-4EB9-41C5-B70A-56BC7D578882}"/>
            </a:ext>
          </a:extLst>
        </xdr:cNvPr>
        <xdr:cNvCxnSpPr/>
      </xdr:nvCxnSpPr>
      <xdr:spPr>
        <a:xfrm>
          <a:off x="823657" y="5678142"/>
          <a:ext cx="568857" cy="8418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248382</xdr:colOff>
      <xdr:row>29</xdr:row>
      <xdr:rowOff>17585</xdr:rowOff>
    </xdr:from>
    <xdr:to>
      <xdr:col>2</xdr:col>
      <xdr:colOff>181182</xdr:colOff>
      <xdr:row>34</xdr:row>
      <xdr:rowOff>23294</xdr:rowOff>
    </xdr:to>
    <xdr:cxnSp macro="">
      <xdr:nvCxnSpPr>
        <xdr:cNvPr id="18" name="Straight Connector 17">
          <a:extLst>
            <a:ext uri="{FF2B5EF4-FFF2-40B4-BE49-F238E27FC236}">
              <a16:creationId xmlns:a16="http://schemas.microsoft.com/office/drawing/2014/main" id="{EAAB6BA1-FA5C-4869-8A35-4C53FA744F31}"/>
            </a:ext>
          </a:extLst>
        </xdr:cNvPr>
        <xdr:cNvCxnSpPr/>
      </xdr:nvCxnSpPr>
      <xdr:spPr>
        <a:xfrm>
          <a:off x="895461" y="5629052"/>
          <a:ext cx="579879" cy="8676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323849</xdr:colOff>
      <xdr:row>28</xdr:row>
      <xdr:rowOff>151668</xdr:rowOff>
    </xdr:from>
    <xdr:to>
      <xdr:col>2</xdr:col>
      <xdr:colOff>235536</xdr:colOff>
      <xdr:row>33</xdr:row>
      <xdr:rowOff>121650</xdr:rowOff>
    </xdr:to>
    <xdr:cxnSp macro="">
      <xdr:nvCxnSpPr>
        <xdr:cNvPr id="19" name="Straight Connector 18">
          <a:extLst>
            <a:ext uri="{FF2B5EF4-FFF2-40B4-BE49-F238E27FC236}">
              <a16:creationId xmlns:a16="http://schemas.microsoft.com/office/drawing/2014/main" id="{422FA74D-0C4F-4DD2-B0E1-7ADC48D0261F}"/>
            </a:ext>
          </a:extLst>
        </xdr:cNvPr>
        <xdr:cNvCxnSpPr/>
      </xdr:nvCxnSpPr>
      <xdr:spPr>
        <a:xfrm>
          <a:off x="970928" y="5581953"/>
          <a:ext cx="558766" cy="8422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632744</xdr:colOff>
      <xdr:row>30</xdr:row>
      <xdr:rowOff>147895</xdr:rowOff>
    </xdr:from>
    <xdr:to>
      <xdr:col>2</xdr:col>
      <xdr:colOff>86888</xdr:colOff>
      <xdr:row>31</xdr:row>
      <xdr:rowOff>62757</xdr:rowOff>
    </xdr:to>
    <xdr:sp macro="" textlink="">
      <xdr:nvSpPr>
        <xdr:cNvPr id="20" name="Oval 19">
          <a:extLst>
            <a:ext uri="{FF2B5EF4-FFF2-40B4-BE49-F238E27FC236}">
              <a16:creationId xmlns:a16="http://schemas.microsoft.com/office/drawing/2014/main" id="{672B3F0C-614E-B877-9517-E959691E40C6}"/>
            </a:ext>
          </a:extLst>
        </xdr:cNvPr>
        <xdr:cNvSpPr/>
      </xdr:nvSpPr>
      <xdr:spPr>
        <a:xfrm>
          <a:off x="1279823" y="5940544"/>
          <a:ext cx="101223" cy="96045"/>
        </a:xfrm>
        <a:prstGeom prst="ellipse">
          <a:avLst/>
        </a:prstGeom>
        <a:solidFill>
          <a:srgbClr val="FFC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68853</xdr:colOff>
      <xdr:row>32</xdr:row>
      <xdr:rowOff>146771</xdr:rowOff>
    </xdr:from>
    <xdr:to>
      <xdr:col>1</xdr:col>
      <xdr:colOff>230932</xdr:colOff>
      <xdr:row>32</xdr:row>
      <xdr:rowOff>147862</xdr:rowOff>
    </xdr:to>
    <xdr:cxnSp macro="">
      <xdr:nvCxnSpPr>
        <xdr:cNvPr id="22" name="Straight Connector 21">
          <a:extLst>
            <a:ext uri="{FF2B5EF4-FFF2-40B4-BE49-F238E27FC236}">
              <a16:creationId xmlns:a16="http://schemas.microsoft.com/office/drawing/2014/main" id="{55767831-2407-D7D8-898D-F87939B7D6C4}"/>
            </a:ext>
          </a:extLst>
        </xdr:cNvPr>
        <xdr:cNvCxnSpPr>
          <a:stCxn id="8" idx="1"/>
          <a:endCxn id="10" idx="1"/>
        </xdr:cNvCxnSpPr>
      </xdr:nvCxnSpPr>
      <xdr:spPr>
        <a:xfrm flipV="1">
          <a:off x="68853" y="6283667"/>
          <a:ext cx="809158" cy="109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59394</xdr:colOff>
      <xdr:row>30</xdr:row>
      <xdr:rowOff>132053</xdr:rowOff>
    </xdr:from>
    <xdr:to>
      <xdr:col>0</xdr:col>
      <xdr:colOff>627784</xdr:colOff>
      <xdr:row>32</xdr:row>
      <xdr:rowOff>161301</xdr:rowOff>
    </xdr:to>
    <xdr:cxnSp macro="">
      <xdr:nvCxnSpPr>
        <xdr:cNvPr id="23" name="Straight Connector 22">
          <a:extLst>
            <a:ext uri="{FF2B5EF4-FFF2-40B4-BE49-F238E27FC236}">
              <a16:creationId xmlns:a16="http://schemas.microsoft.com/office/drawing/2014/main" id="{CFFB8B78-C2FD-4ADA-B788-970E050FF16A}"/>
            </a:ext>
          </a:extLst>
        </xdr:cNvPr>
        <xdr:cNvCxnSpPr/>
      </xdr:nvCxnSpPr>
      <xdr:spPr>
        <a:xfrm flipV="1">
          <a:off x="59394" y="5937973"/>
          <a:ext cx="568390" cy="373448"/>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625619</xdr:colOff>
      <xdr:row>30</xdr:row>
      <xdr:rowOff>127723</xdr:rowOff>
    </xdr:from>
    <xdr:to>
      <xdr:col>1</xdr:col>
      <xdr:colOff>224324</xdr:colOff>
      <xdr:row>32</xdr:row>
      <xdr:rowOff>132160</xdr:rowOff>
    </xdr:to>
    <xdr:cxnSp macro="">
      <xdr:nvCxnSpPr>
        <xdr:cNvPr id="25" name="Straight Connector 24">
          <a:extLst>
            <a:ext uri="{FF2B5EF4-FFF2-40B4-BE49-F238E27FC236}">
              <a16:creationId xmlns:a16="http://schemas.microsoft.com/office/drawing/2014/main" id="{1EFD8142-47A6-4FFD-AD4C-E96E390B1F4A}"/>
            </a:ext>
          </a:extLst>
        </xdr:cNvPr>
        <xdr:cNvCxnSpPr/>
      </xdr:nvCxnSpPr>
      <xdr:spPr>
        <a:xfrm>
          <a:off x="625619" y="5933643"/>
          <a:ext cx="245972" cy="348637"/>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41413</xdr:colOff>
      <xdr:row>54</xdr:row>
      <xdr:rowOff>62119</xdr:rowOff>
    </xdr:from>
    <xdr:to>
      <xdr:col>2</xdr:col>
      <xdr:colOff>282415</xdr:colOff>
      <xdr:row>56</xdr:row>
      <xdr:rowOff>116473</xdr:rowOff>
    </xdr:to>
    <xdr:pic>
      <xdr:nvPicPr>
        <xdr:cNvPr id="51" name="Picture 50">
          <a:extLst>
            <a:ext uri="{FF2B5EF4-FFF2-40B4-BE49-F238E27FC236}">
              <a16:creationId xmlns:a16="http://schemas.microsoft.com/office/drawing/2014/main" id="{798C8AB9-0B33-6FEA-4E7E-12322DB1DD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13" y="10868335"/>
          <a:ext cx="1535160" cy="411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56</xdr:row>
      <xdr:rowOff>52925</xdr:rowOff>
    </xdr:from>
    <xdr:to>
      <xdr:col>4</xdr:col>
      <xdr:colOff>230359</xdr:colOff>
      <xdr:row>58</xdr:row>
      <xdr:rowOff>81871</xdr:rowOff>
    </xdr:to>
    <xdr:sp macro="" textlink="">
      <xdr:nvSpPr>
        <xdr:cNvPr id="52" name="Rectangle 51">
          <a:extLst>
            <a:ext uri="{FF2B5EF4-FFF2-40B4-BE49-F238E27FC236}">
              <a16:creationId xmlns:a16="http://schemas.microsoft.com/office/drawing/2014/main" id="{B613673C-0E12-7789-5A40-B76B892E621C}"/>
            </a:ext>
          </a:extLst>
        </xdr:cNvPr>
        <xdr:cNvSpPr>
          <a:spLocks noChangeArrowheads="1"/>
        </xdr:cNvSpPr>
      </xdr:nvSpPr>
      <xdr:spPr bwMode="auto">
        <a:xfrm>
          <a:off x="0" y="11216329"/>
          <a:ext cx="2818674" cy="35766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spAutoFit/>
        </a:bodyPr>
        <a:lstStyle>
          <a:defPPr>
            <a:defRPr lang="en-GB"/>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l" eaLnBrk="1" hangingPunct="1"/>
          <a:r>
            <a:rPr lang="it-IT" altLang="en-US" sz="900"/>
            <a:t>Frequency f is assumed equal to 340 Hz</a:t>
          </a:r>
        </a:p>
        <a:p>
          <a:pPr algn="l" eaLnBrk="1" hangingPunct="1"/>
          <a:r>
            <a:rPr lang="it-IT" altLang="en-US" sz="900"/>
            <a:t>so f/c =1</a:t>
          </a:r>
          <a:r>
            <a:rPr lang="en-GB" altLang="en-US" sz="900"/>
            <a:t> </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12"/>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2.59765625" defaultRowHeight="15.75" customHeight="1" x14ac:dyDescent="0.35"/>
  <cols>
    <col min="1" max="1" width="3.1328125" customWidth="1"/>
    <col min="2" max="2" width="18.86328125" customWidth="1"/>
    <col min="3" max="3" width="29.1328125" customWidth="1"/>
    <col min="4" max="4" width="17.1328125" customWidth="1"/>
    <col min="5" max="5" width="10" customWidth="1"/>
    <col min="6" max="11" width="2.796875" customWidth="1"/>
    <col min="12" max="12" width="6.33203125" customWidth="1"/>
    <col min="13" max="13" width="18.86328125" customWidth="1"/>
    <col min="14" max="19" width="3.19921875" customWidth="1"/>
    <col min="20" max="20" width="18.86328125" customWidth="1"/>
    <col min="21" max="26" width="3.19921875" customWidth="1"/>
    <col min="27" max="27" width="18.86328125" customWidth="1"/>
    <col min="28" max="28" width="7.9296875" customWidth="1"/>
    <col min="29" max="29" width="6.53125" customWidth="1"/>
    <col min="30" max="30" width="6.1328125" customWidth="1"/>
    <col min="31" max="31" width="18.86328125" customWidth="1"/>
    <col min="32" max="34" width="6.73046875" customWidth="1"/>
    <col min="35" max="35" width="18.86328125" customWidth="1"/>
    <col min="36" max="36" width="8.19921875" customWidth="1"/>
    <col min="37" max="37" width="6.796875" customWidth="1"/>
    <col min="38" max="38" width="6.59765625" customWidth="1"/>
    <col min="39" max="39" width="18.86328125" customWidth="1"/>
    <col min="40" max="42" width="8.796875" customWidth="1"/>
    <col min="43" max="43" width="18.86328125" customWidth="1"/>
    <col min="44" max="44" width="9.1328125" customWidth="1"/>
    <col min="45" max="45" width="6.73046875" customWidth="1"/>
    <col min="46" max="46" width="6.06640625" customWidth="1"/>
    <col min="47" max="47" width="8.3984375" customWidth="1"/>
    <col min="48" max="49" width="18.86328125" customWidth="1"/>
  </cols>
  <sheetData>
    <row r="1" spans="1:47" ht="14.65" thickTop="1" x14ac:dyDescent="0.45">
      <c r="A1" s="40" t="s">
        <v>57</v>
      </c>
      <c r="B1" s="40" t="s">
        <v>0</v>
      </c>
      <c r="C1" s="70" t="s">
        <v>1</v>
      </c>
      <c r="D1" s="70" t="s">
        <v>2</v>
      </c>
      <c r="E1" s="40" t="s">
        <v>3</v>
      </c>
      <c r="F1" s="38" t="s">
        <v>58</v>
      </c>
      <c r="G1" s="38" t="s">
        <v>59</v>
      </c>
      <c r="H1" s="38" t="s">
        <v>60</v>
      </c>
      <c r="I1" s="38" t="s">
        <v>61</v>
      </c>
      <c r="J1" s="38" t="s">
        <v>62</v>
      </c>
      <c r="K1" s="38" t="s">
        <v>63</v>
      </c>
      <c r="L1" s="40" t="s">
        <v>120</v>
      </c>
      <c r="M1" s="71" t="s">
        <v>4</v>
      </c>
      <c r="N1" s="40">
        <v>1</v>
      </c>
      <c r="O1" s="40">
        <v>-1</v>
      </c>
      <c r="P1" s="40">
        <v>-1</v>
      </c>
      <c r="Q1" s="40">
        <v>-1</v>
      </c>
      <c r="R1" s="40">
        <v>-1</v>
      </c>
      <c r="S1" s="40">
        <v>1</v>
      </c>
      <c r="T1" s="71" t="s">
        <v>5</v>
      </c>
      <c r="U1" s="40">
        <v>1</v>
      </c>
      <c r="V1" s="40">
        <v>1</v>
      </c>
      <c r="W1" s="40">
        <v>-1</v>
      </c>
      <c r="X1" s="40">
        <v>-1</v>
      </c>
      <c r="Y1" s="40">
        <v>1</v>
      </c>
      <c r="Z1" s="40">
        <v>-1</v>
      </c>
      <c r="AA1" s="71" t="s">
        <v>6</v>
      </c>
      <c r="AB1" s="42" t="s">
        <v>121</v>
      </c>
      <c r="AC1" s="43" t="s">
        <v>122</v>
      </c>
      <c r="AD1" s="44" t="s">
        <v>123</v>
      </c>
      <c r="AE1" s="71" t="s">
        <v>7</v>
      </c>
      <c r="AF1" s="42" t="s">
        <v>121</v>
      </c>
      <c r="AG1" s="43" t="s">
        <v>122</v>
      </c>
      <c r="AH1" s="44" t="s">
        <v>123</v>
      </c>
      <c r="AI1" s="71" t="s">
        <v>8</v>
      </c>
      <c r="AJ1" s="42" t="s">
        <v>121</v>
      </c>
      <c r="AK1" s="43" t="s">
        <v>122</v>
      </c>
      <c r="AL1" s="44" t="s">
        <v>123</v>
      </c>
      <c r="AM1" s="71" t="s">
        <v>9</v>
      </c>
      <c r="AN1" s="42" t="s">
        <v>121</v>
      </c>
      <c r="AO1" s="43" t="s">
        <v>122</v>
      </c>
      <c r="AP1" s="44" t="s">
        <v>123</v>
      </c>
      <c r="AQ1" s="71" t="s">
        <v>10</v>
      </c>
      <c r="AR1" s="42" t="s">
        <v>121</v>
      </c>
      <c r="AS1" s="43" t="s">
        <v>122</v>
      </c>
      <c r="AT1" s="44" t="s">
        <v>123</v>
      </c>
      <c r="AU1" s="72" t="s">
        <v>126</v>
      </c>
    </row>
    <row r="2" spans="1:47" ht="14.25" x14ac:dyDescent="0.45">
      <c r="A2" s="52">
        <v>1</v>
      </c>
      <c r="B2" s="53">
        <v>45272.415664629632</v>
      </c>
      <c r="C2" s="54" t="s">
        <v>11</v>
      </c>
      <c r="D2" s="54" t="s">
        <v>12</v>
      </c>
      <c r="E2" s="55">
        <v>356942</v>
      </c>
      <c r="F2" s="39">
        <f t="shared" ref="F2:F4" si="0">INT(E2/100000)</f>
        <v>3</v>
      </c>
      <c r="G2" s="39">
        <f t="shared" ref="G2:G4" si="1">INT(($E2-100000*F2)/10000)</f>
        <v>5</v>
      </c>
      <c r="H2" s="39">
        <f t="shared" ref="H2:H4" si="2">INT(($E2-100000*F2-10000*G2)/1000)</f>
        <v>6</v>
      </c>
      <c r="I2" s="39">
        <f t="shared" ref="I2:I8" si="3">INT(($E2-100000*$F2-10000*$G2-1000*$H2)/100)</f>
        <v>9</v>
      </c>
      <c r="J2" s="39">
        <f t="shared" ref="J2:J8" si="4">INT(($E2-100000*$F2-10000*$G2-1000*$H2-100*$I2)/10)</f>
        <v>4</v>
      </c>
      <c r="K2" s="39">
        <f t="shared" ref="K2:K8" si="5">INT(($E2-100000*$F2-10000*$G2-1000*$H2-100*$I2-10*$J2))</f>
        <v>2</v>
      </c>
      <c r="L2" s="41">
        <v>1</v>
      </c>
      <c r="M2" s="54" t="s">
        <v>13</v>
      </c>
      <c r="N2" s="41">
        <f>IF(ISERROR(FIND("An omnidirectional microphone is only sensitive to sound pressure",M2,1)),0,N$1)</f>
        <v>1</v>
      </c>
      <c r="O2" s="41">
        <f>IF(ISERROR(FIND("A cardioid microphone is only sensitive to sound pressure",M2,1)),0,O$1)</f>
        <v>0</v>
      </c>
      <c r="P2" s="41">
        <f>IF(ISERROR(FIND("An omnidirectional microphone is only sensitive to particle velocity",M2,1)),0,P$1)</f>
        <v>0</v>
      </c>
      <c r="Q2" s="41">
        <f>IF(ISERROR(FIND("A cardioid microphone is only sensitive to particle velocity ",M2,1)),0,Q$1)</f>
        <v>0</v>
      </c>
      <c r="R2" s="41">
        <f>IF(ISERROR(FIND("An omnidirectional microphone is sensitive half to sound pressure",M2,1)),0,R$1)</f>
        <v>0</v>
      </c>
      <c r="S2" s="41">
        <f>IF(ISERROR(FIND("A cardioid microphone is sensitive half to sound pressure",M2,1)),0,S$1)</f>
        <v>1</v>
      </c>
      <c r="T2" s="54" t="s">
        <v>14</v>
      </c>
      <c r="U2" s="41">
        <f>IF(ISERROR(FIND("Virtual microphones with complex directivity patterns",T2,1)),0,U$1)</f>
        <v>1</v>
      </c>
      <c r="V2" s="41">
        <f>IF(ISERROR(FIND("Different physical quantities",T2,1)),0,V$1)</f>
        <v>1</v>
      </c>
      <c r="W2" s="41">
        <f>IF(ISERROR(FIND("Sound arriving from different angular sectors",T2,1)),0,W$1)</f>
        <v>-1</v>
      </c>
      <c r="X2" s="41">
        <f>IF(ISERROR(FIND("Wavefronts with different curvature",T2,1)),0,X$1)</f>
        <v>-1</v>
      </c>
      <c r="Y2" s="41">
        <f>IF(ISERROR(FIND("Spherical harmonics functions",T2,1)),0,Y$1)</f>
        <v>1</v>
      </c>
      <c r="Z2" s="41">
        <f>IF(ISERROR(FIND("Plane waves arriving from different directions",T2,1)),0,Z$1)</f>
        <v>-1</v>
      </c>
      <c r="AA2" s="54" t="s">
        <v>15</v>
      </c>
      <c r="AB2" s="45">
        <f>20*LOG10(0.5+0.5*COS((60+K2*5)/180*PI()))</f>
        <v>-3.4654192230056817</v>
      </c>
      <c r="AC2" s="46" t="s">
        <v>92</v>
      </c>
      <c r="AD2" s="41">
        <f>IF(AA2="",0,IF(EXACT(RIGHT(AA2,2),AC2),IF(ABS(VALUE(LEFT(AA2,FIND(" ",AA2,1)))-AB2)&lt;=0.5,1,-1),-1))</f>
        <v>1</v>
      </c>
      <c r="AE2" s="54" t="s">
        <v>16</v>
      </c>
      <c r="AF2" s="47">
        <v>0.41</v>
      </c>
      <c r="AG2" s="46" t="s">
        <v>103</v>
      </c>
      <c r="AH2" s="41">
        <f>IF(AE2="",0,IF(EXACT(RIGHT(AE2,2),AG2),IF(ABS(VALUE(LEFT(AE2,FIND(" ",AE2,1)))-AF2)&lt;=0.5,1,-1),-1))</f>
        <v>-1</v>
      </c>
      <c r="AI2" s="54" t="s">
        <v>17</v>
      </c>
      <c r="AJ2" s="47">
        <f>2*(20+J2)/100/340*1000</f>
        <v>1.4117647058823528</v>
      </c>
      <c r="AK2" s="46" t="s">
        <v>103</v>
      </c>
      <c r="AL2" s="41">
        <f>IF(AI2="",0,IF(EXACT(RIGHT(AI2,2),AK2),IF(ABS(VALUE(LEFT(AI2,FIND(" ",AI2,1)))-AJ2)&lt;=0.5,1,-1),-1))</f>
        <v>-1</v>
      </c>
      <c r="AM2" s="58" t="s">
        <v>18</v>
      </c>
      <c r="AN2" s="45">
        <f>100+J2+10*LOG10((200+K2*10)/100)+10*LOG10(20+I2)-10*LOG10(16*3600)</f>
        <v>74.443981952979499</v>
      </c>
      <c r="AO2" s="46" t="s">
        <v>116</v>
      </c>
      <c r="AP2" s="41">
        <f>IF(AM2="",0,IF(EXACT(RIGHT(AM2,5),AO2),IF(ABS(VALUE(LEFT(AM2,FIND(" ",AM2,1)))-AN2)&lt;=0.5,1,-1),-1))</f>
        <v>-1</v>
      </c>
      <c r="AQ2" s="54" t="s">
        <v>19</v>
      </c>
      <c r="AR2" s="45">
        <f>10*LOG10(1+40*(1+K2/10))</f>
        <v>16.901960800285135</v>
      </c>
      <c r="AS2" s="46" t="s">
        <v>116</v>
      </c>
      <c r="AT2" s="41">
        <v>1</v>
      </c>
      <c r="AU2" s="56">
        <f>L2+SUM(N2:S2)+SUM(U2:Z2)+AD2+AH2+AL2+AP2+AT2</f>
        <v>2</v>
      </c>
    </row>
    <row r="3" spans="1:47" ht="14.25" x14ac:dyDescent="0.45">
      <c r="A3" s="52">
        <v>2</v>
      </c>
      <c r="B3" s="53">
        <v>45272.416480405096</v>
      </c>
      <c r="C3" s="54" t="s">
        <v>20</v>
      </c>
      <c r="D3" s="54" t="s">
        <v>21</v>
      </c>
      <c r="E3" s="55">
        <v>365865</v>
      </c>
      <c r="F3" s="39">
        <f t="shared" si="0"/>
        <v>3</v>
      </c>
      <c r="G3" s="39">
        <f t="shared" si="1"/>
        <v>6</v>
      </c>
      <c r="H3" s="39">
        <f t="shared" si="2"/>
        <v>5</v>
      </c>
      <c r="I3" s="39">
        <f t="shared" si="3"/>
        <v>8</v>
      </c>
      <c r="J3" s="39">
        <f t="shared" si="4"/>
        <v>6</v>
      </c>
      <c r="K3" s="39">
        <f t="shared" si="5"/>
        <v>5</v>
      </c>
      <c r="L3" s="41">
        <v>1</v>
      </c>
      <c r="M3" s="54" t="s">
        <v>22</v>
      </c>
      <c r="N3" s="41">
        <f t="shared" ref="N3:N8" si="6">IF(ISERROR(FIND("An omnidirectional microphone is only sensitive to sound pressure",M3,1)),0,N$1)</f>
        <v>1</v>
      </c>
      <c r="O3" s="41">
        <f t="shared" ref="O3:O8" si="7">IF(ISERROR(FIND("A cardioid microphone is only sensitive to sound pressure",M3,1)),0,O$1)</f>
        <v>-1</v>
      </c>
      <c r="P3" s="41">
        <f t="shared" ref="P3:P8" si="8">IF(ISERROR(FIND("An omnidirectional microphone is only sensitive to particle velocity",M3,1)),0,P$1)</f>
        <v>0</v>
      </c>
      <c r="Q3" s="41">
        <f t="shared" ref="Q3:Q8" si="9">IF(ISERROR(FIND("A cardioid microphone is only sensitive to particle velocity ",M3,1)),0,Q$1)</f>
        <v>0</v>
      </c>
      <c r="R3" s="41">
        <f t="shared" ref="R3:R8" si="10">IF(ISERROR(FIND("An omnidirectional microphone is sensitive half to sound pressure",M3,1)),0,R$1)</f>
        <v>-1</v>
      </c>
      <c r="S3" s="41">
        <f t="shared" ref="S3:S8" si="11">IF(ISERROR(FIND("A cardioid microphone is sensitive half to sound pressure",M3,1)),0,S$1)</f>
        <v>0</v>
      </c>
      <c r="T3" s="54" t="s">
        <v>23</v>
      </c>
      <c r="U3" s="41">
        <f t="shared" ref="U3:U8" si="12">IF(ISERROR(FIND("Virtual microphones with complex directivity patterns",T3,1)),0,U$1)</f>
        <v>1</v>
      </c>
      <c r="V3" s="41">
        <f t="shared" ref="V3:V8" si="13">IF(ISERROR(FIND("Different physical quantities",T3,1)),0,V$1)</f>
        <v>1</v>
      </c>
      <c r="W3" s="41">
        <f t="shared" ref="W3:W8" si="14">IF(ISERROR(FIND("Sound arriving from different angular sectors",T3,1)),0,W$1)</f>
        <v>-1</v>
      </c>
      <c r="X3" s="41">
        <f t="shared" ref="X3:X8" si="15">IF(ISERROR(FIND("Wavefronts with different curvature",T3,1)),0,X$1)</f>
        <v>0</v>
      </c>
      <c r="Y3" s="41">
        <f t="shared" ref="Y3:Y8" si="16">IF(ISERROR(FIND("Spherical harmonics functions",T3,1)),0,Y$1)</f>
        <v>1</v>
      </c>
      <c r="Z3" s="41">
        <f t="shared" ref="Z3:Z8" si="17">IF(ISERROR(FIND("Plane waves arriving from different directions",T3,1)),0,Z$1)</f>
        <v>0</v>
      </c>
      <c r="AA3" s="54" t="s">
        <v>24</v>
      </c>
      <c r="AB3" s="45">
        <f t="shared" ref="AB3:AB8" si="18">20*LOG10(0.5+0.5*COS((60+K3*5)/180*PI()))</f>
        <v>-5.2947646273063231</v>
      </c>
      <c r="AC3" s="46" t="s">
        <v>92</v>
      </c>
      <c r="AD3" s="41">
        <f t="shared" ref="AD3" si="19">IF(AA3="",0,IF(EXACT(RIGHT(AA3,5),AC3),IF(ABS(VALUE(LEFT(AA3,FIND(" ",AA3,1)))-AB3)&lt;=0.5,1,-1),-1))</f>
        <v>-1</v>
      </c>
      <c r="AE3" s="57"/>
      <c r="AF3" s="47">
        <v>0.41</v>
      </c>
      <c r="AG3" s="46" t="s">
        <v>103</v>
      </c>
      <c r="AH3" s="41">
        <f t="shared" ref="AH3" si="20">IF(AE3="",0,IF(EXACT(RIGHT(AE3,5),AG3),IF(ABS(VALUE(LEFT(AE3,FIND(" ",AE3,1)))-AF3)&lt;=0.5,1,-1),-1))</f>
        <v>0</v>
      </c>
      <c r="AI3" s="57"/>
      <c r="AJ3" s="47">
        <f t="shared" ref="AJ3:AJ8" si="21">2*(20+J3)/100/340*1000</f>
        <v>1.5294117647058825</v>
      </c>
      <c r="AK3" s="46" t="s">
        <v>103</v>
      </c>
      <c r="AL3" s="41">
        <f t="shared" ref="AL3:AL8" si="22">IF(AI3="",0,IF(EXACT(RIGHT(AI3,2),AK3),IF(ABS(VALUE(LEFT(AI3,FIND(" ",AI3,1)))-AJ3)&lt;=0.5,1,-1),-1))</f>
        <v>0</v>
      </c>
      <c r="AM3" s="57"/>
      <c r="AN3" s="45">
        <f t="shared" ref="AN3:AN8" si="23">100+J3+10*LOG10((200+K3*10)/100)+10*LOG10(20+I3)-10*LOG10(16*3600)</f>
        <v>76.846755565910456</v>
      </c>
      <c r="AO3" s="46" t="s">
        <v>116</v>
      </c>
      <c r="AP3" s="41">
        <f t="shared" ref="AP3:AP8" si="24">IF(AM3="",0,IF(EXACT(RIGHT(AM3,5),AO3),IF(ABS(VALUE(LEFT(AM3,FIND(" ",AM3,1)))-AN3)&lt;=0.5,1,-1),-1))</f>
        <v>0</v>
      </c>
      <c r="AQ3" s="54" t="s">
        <v>25</v>
      </c>
      <c r="AR3" s="45">
        <f t="shared" ref="AR3:AR8" si="25">10*LOG10(1+40*(1+K3/10))</f>
        <v>17.853298350107671</v>
      </c>
      <c r="AS3" s="46" t="s">
        <v>116</v>
      </c>
      <c r="AT3" s="41">
        <v>1</v>
      </c>
      <c r="AU3" s="56">
        <f t="shared" ref="AU3:AU8" si="26">L3+SUM(N3:S3)+SUM(U3:Z3)+AD3+AH3+AL3+AP3+AT3</f>
        <v>2</v>
      </c>
    </row>
    <row r="4" spans="1:47" ht="14.25" x14ac:dyDescent="0.45">
      <c r="A4" s="52">
        <v>3</v>
      </c>
      <c r="B4" s="53">
        <v>45272.416896111114</v>
      </c>
      <c r="C4" s="54" t="s">
        <v>26</v>
      </c>
      <c r="D4" s="54" t="s">
        <v>27</v>
      </c>
      <c r="E4" s="55">
        <v>363610</v>
      </c>
      <c r="F4" s="39">
        <f t="shared" si="0"/>
        <v>3</v>
      </c>
      <c r="G4" s="39">
        <f t="shared" si="1"/>
        <v>6</v>
      </c>
      <c r="H4" s="39">
        <f t="shared" si="2"/>
        <v>3</v>
      </c>
      <c r="I4" s="39">
        <f t="shared" si="3"/>
        <v>6</v>
      </c>
      <c r="J4" s="39">
        <f t="shared" si="4"/>
        <v>1</v>
      </c>
      <c r="K4" s="39">
        <f t="shared" si="5"/>
        <v>0</v>
      </c>
      <c r="L4" s="41">
        <v>1</v>
      </c>
      <c r="M4" s="54" t="s">
        <v>13</v>
      </c>
      <c r="N4" s="41">
        <f t="shared" si="6"/>
        <v>1</v>
      </c>
      <c r="O4" s="41">
        <f t="shared" si="7"/>
        <v>0</v>
      </c>
      <c r="P4" s="41">
        <f t="shared" si="8"/>
        <v>0</v>
      </c>
      <c r="Q4" s="41">
        <f t="shared" si="9"/>
        <v>0</v>
      </c>
      <c r="R4" s="41">
        <f t="shared" si="10"/>
        <v>0</v>
      </c>
      <c r="S4" s="41">
        <f t="shared" si="11"/>
        <v>1</v>
      </c>
      <c r="T4" s="54" t="s">
        <v>28</v>
      </c>
      <c r="U4" s="41">
        <f t="shared" si="12"/>
        <v>1</v>
      </c>
      <c r="V4" s="41">
        <f t="shared" si="13"/>
        <v>1</v>
      </c>
      <c r="W4" s="41">
        <f t="shared" si="14"/>
        <v>-1</v>
      </c>
      <c r="X4" s="41">
        <f t="shared" si="15"/>
        <v>0</v>
      </c>
      <c r="Y4" s="41">
        <f t="shared" si="16"/>
        <v>1</v>
      </c>
      <c r="Z4" s="41">
        <f t="shared" si="17"/>
        <v>-1</v>
      </c>
      <c r="AA4" s="57"/>
      <c r="AB4" s="45">
        <f t="shared" si="18"/>
        <v>-2.498774732165999</v>
      </c>
      <c r="AC4" s="46" t="s">
        <v>92</v>
      </c>
      <c r="AD4" s="41">
        <f t="shared" ref="AD4:AD6" si="27">IF(AA4="",0,IF(EXACT(RIGHT(AA4,2),AC4),IF(ABS(VALUE(LEFT(AA4,FIND(" ",AA4,1)))-AB4)&lt;=0.5,1,-1),-1))</f>
        <v>0</v>
      </c>
      <c r="AE4" s="54" t="s">
        <v>29</v>
      </c>
      <c r="AF4" s="47">
        <v>0.41</v>
      </c>
      <c r="AG4" s="46" t="s">
        <v>103</v>
      </c>
      <c r="AH4" s="41">
        <f t="shared" ref="AH4:AH6" si="28">IF(AE4="",0,IF(EXACT(RIGHT(AE4,2),AG4),IF(ABS(VALUE(LEFT(AE4,FIND(" ",AE4,1)))-AF4)&lt;=0.5,1,-1),-1))</f>
        <v>1</v>
      </c>
      <c r="AI4" s="54" t="s">
        <v>30</v>
      </c>
      <c r="AJ4" s="47">
        <f t="shared" si="21"/>
        <v>1.2352941176470589</v>
      </c>
      <c r="AK4" s="46" t="s">
        <v>103</v>
      </c>
      <c r="AL4" s="41">
        <f t="shared" si="22"/>
        <v>1</v>
      </c>
      <c r="AM4" s="57"/>
      <c r="AN4" s="45">
        <f t="shared" si="23"/>
        <v>70.55580860211586</v>
      </c>
      <c r="AO4" s="46" t="s">
        <v>116</v>
      </c>
      <c r="AP4" s="41">
        <f t="shared" si="24"/>
        <v>0</v>
      </c>
      <c r="AQ4" s="54" t="s">
        <v>31</v>
      </c>
      <c r="AR4" s="45">
        <f t="shared" si="25"/>
        <v>16.127838567197355</v>
      </c>
      <c r="AS4" s="46" t="s">
        <v>116</v>
      </c>
      <c r="AT4" s="41">
        <v>1</v>
      </c>
      <c r="AU4" s="56">
        <f t="shared" si="26"/>
        <v>7</v>
      </c>
    </row>
    <row r="5" spans="1:47" ht="14.25" x14ac:dyDescent="0.45">
      <c r="A5" s="52">
        <v>4</v>
      </c>
      <c r="B5" s="53">
        <v>45272.417481168981</v>
      </c>
      <c r="C5" s="54" t="s">
        <v>32</v>
      </c>
      <c r="D5" s="54" t="s">
        <v>33</v>
      </c>
      <c r="E5" s="55">
        <v>368048</v>
      </c>
      <c r="F5" s="39">
        <f t="shared" ref="F5:F8" si="29">INT(E5/100000)</f>
        <v>3</v>
      </c>
      <c r="G5" s="39">
        <f t="shared" ref="G5:G8" si="30">INT(($E5-100000*F5)/10000)</f>
        <v>6</v>
      </c>
      <c r="H5" s="39">
        <f t="shared" ref="H5:H8" si="31">INT(($E5-100000*F5-10000*G5)/1000)</f>
        <v>8</v>
      </c>
      <c r="I5" s="39">
        <f t="shared" si="3"/>
        <v>0</v>
      </c>
      <c r="J5" s="39">
        <f t="shared" si="4"/>
        <v>4</v>
      </c>
      <c r="K5" s="39">
        <f t="shared" si="5"/>
        <v>8</v>
      </c>
      <c r="L5" s="41">
        <v>1</v>
      </c>
      <c r="M5" s="54" t="s">
        <v>34</v>
      </c>
      <c r="N5" s="41">
        <f t="shared" si="6"/>
        <v>1</v>
      </c>
      <c r="O5" s="41">
        <f t="shared" si="7"/>
        <v>0</v>
      </c>
      <c r="P5" s="41">
        <f t="shared" si="8"/>
        <v>0</v>
      </c>
      <c r="Q5" s="41">
        <f t="shared" si="9"/>
        <v>0</v>
      </c>
      <c r="R5" s="41">
        <f t="shared" si="10"/>
        <v>0</v>
      </c>
      <c r="S5" s="41">
        <f t="shared" si="11"/>
        <v>0</v>
      </c>
      <c r="T5" s="54" t="s">
        <v>35</v>
      </c>
      <c r="U5" s="41">
        <f t="shared" si="12"/>
        <v>1</v>
      </c>
      <c r="V5" s="41">
        <f t="shared" si="13"/>
        <v>0</v>
      </c>
      <c r="W5" s="41">
        <f t="shared" si="14"/>
        <v>-1</v>
      </c>
      <c r="X5" s="41">
        <f t="shared" si="15"/>
        <v>0</v>
      </c>
      <c r="Y5" s="41">
        <f t="shared" si="16"/>
        <v>1</v>
      </c>
      <c r="Z5" s="41">
        <f t="shared" si="17"/>
        <v>0</v>
      </c>
      <c r="AA5" s="54" t="s">
        <v>36</v>
      </c>
      <c r="AB5" s="45">
        <f t="shared" si="18"/>
        <v>-7.6773001299026049</v>
      </c>
      <c r="AC5" s="46" t="s">
        <v>92</v>
      </c>
      <c r="AD5" s="41">
        <f t="shared" si="27"/>
        <v>-1</v>
      </c>
      <c r="AE5" s="54" t="s">
        <v>37</v>
      </c>
      <c r="AF5" s="47">
        <v>0.41</v>
      </c>
      <c r="AG5" s="46" t="s">
        <v>103</v>
      </c>
      <c r="AH5" s="41">
        <f t="shared" si="28"/>
        <v>-1</v>
      </c>
      <c r="AI5" s="58" t="s">
        <v>38</v>
      </c>
      <c r="AJ5" s="47">
        <f t="shared" si="21"/>
        <v>1.4117647058823528</v>
      </c>
      <c r="AK5" s="46" t="s">
        <v>103</v>
      </c>
      <c r="AL5" s="41">
        <v>0</v>
      </c>
      <c r="AM5" s="58" t="s">
        <v>39</v>
      </c>
      <c r="AN5" s="45">
        <f t="shared" si="23"/>
        <v>73.877655435829894</v>
      </c>
      <c r="AO5" s="46" t="s">
        <v>116</v>
      </c>
      <c r="AP5" s="41">
        <f t="shared" si="24"/>
        <v>-1</v>
      </c>
      <c r="AQ5" s="58" t="s">
        <v>40</v>
      </c>
      <c r="AR5" s="45">
        <f t="shared" si="25"/>
        <v>18.633228601204557</v>
      </c>
      <c r="AS5" s="46" t="s">
        <v>116</v>
      </c>
      <c r="AT5" s="41">
        <f t="shared" ref="AT5:AT8" si="32">IF(AQ5="",0,IF(EXACT(RIGHT(AQ5,5),AS5),IF(ABS(VALUE(LEFT(AQ5,FIND(" ",AQ5,1)))-AR5)&lt;=0.5,1,-1),-1))</f>
        <v>-1</v>
      </c>
      <c r="AU5" s="56">
        <f t="shared" si="26"/>
        <v>-1</v>
      </c>
    </row>
    <row r="6" spans="1:47" ht="14.25" x14ac:dyDescent="0.45">
      <c r="A6" s="52">
        <v>5</v>
      </c>
      <c r="B6" s="53">
        <v>45272.417500277777</v>
      </c>
      <c r="C6" s="54" t="s">
        <v>41</v>
      </c>
      <c r="D6" s="54" t="s">
        <v>42</v>
      </c>
      <c r="E6" s="55">
        <v>343833</v>
      </c>
      <c r="F6" s="39">
        <f t="shared" si="29"/>
        <v>3</v>
      </c>
      <c r="G6" s="39">
        <f t="shared" si="30"/>
        <v>4</v>
      </c>
      <c r="H6" s="39">
        <f t="shared" si="31"/>
        <v>3</v>
      </c>
      <c r="I6" s="39">
        <f t="shared" si="3"/>
        <v>8</v>
      </c>
      <c r="J6" s="39">
        <f t="shared" si="4"/>
        <v>3</v>
      </c>
      <c r="K6" s="39">
        <f t="shared" si="5"/>
        <v>3</v>
      </c>
      <c r="L6" s="41">
        <v>1</v>
      </c>
      <c r="M6" s="54" t="s">
        <v>13</v>
      </c>
      <c r="N6" s="41">
        <f t="shared" si="6"/>
        <v>1</v>
      </c>
      <c r="O6" s="41">
        <f t="shared" si="7"/>
        <v>0</v>
      </c>
      <c r="P6" s="41">
        <f t="shared" si="8"/>
        <v>0</v>
      </c>
      <c r="Q6" s="41">
        <f t="shared" si="9"/>
        <v>0</v>
      </c>
      <c r="R6" s="41">
        <f t="shared" si="10"/>
        <v>0</v>
      </c>
      <c r="S6" s="41">
        <f t="shared" si="11"/>
        <v>1</v>
      </c>
      <c r="T6" s="54" t="s">
        <v>43</v>
      </c>
      <c r="U6" s="41">
        <f t="shared" si="12"/>
        <v>0</v>
      </c>
      <c r="V6" s="41">
        <f t="shared" si="13"/>
        <v>1</v>
      </c>
      <c r="W6" s="41">
        <f t="shared" si="14"/>
        <v>-1</v>
      </c>
      <c r="X6" s="41">
        <f t="shared" si="15"/>
        <v>0</v>
      </c>
      <c r="Y6" s="41">
        <f t="shared" si="16"/>
        <v>1</v>
      </c>
      <c r="Z6" s="41">
        <f t="shared" si="17"/>
        <v>-1</v>
      </c>
      <c r="AA6" s="54" t="s">
        <v>44</v>
      </c>
      <c r="AB6" s="45">
        <f t="shared" si="18"/>
        <v>-4.0213338156761331</v>
      </c>
      <c r="AC6" s="46" t="s">
        <v>92</v>
      </c>
      <c r="AD6" s="41">
        <f t="shared" si="27"/>
        <v>1</v>
      </c>
      <c r="AE6" s="54" t="s">
        <v>16</v>
      </c>
      <c r="AF6" s="47">
        <v>0.41</v>
      </c>
      <c r="AG6" s="46" t="s">
        <v>103</v>
      </c>
      <c r="AH6" s="41">
        <f t="shared" si="28"/>
        <v>-1</v>
      </c>
      <c r="AI6" s="54" t="s">
        <v>45</v>
      </c>
      <c r="AJ6" s="47">
        <f t="shared" si="21"/>
        <v>1.3529411764705883</v>
      </c>
      <c r="AK6" s="46" t="s">
        <v>103</v>
      </c>
      <c r="AL6" s="41">
        <v>1</v>
      </c>
      <c r="AM6" s="57"/>
      <c r="AN6" s="45">
        <f t="shared" si="23"/>
        <v>73.484633839366012</v>
      </c>
      <c r="AO6" s="46" t="s">
        <v>116</v>
      </c>
      <c r="AP6" s="41">
        <f t="shared" si="24"/>
        <v>0</v>
      </c>
      <c r="AQ6" s="57"/>
      <c r="AR6" s="45">
        <f t="shared" si="25"/>
        <v>17.24275869600789</v>
      </c>
      <c r="AS6" s="46" t="s">
        <v>116</v>
      </c>
      <c r="AT6" s="41">
        <f t="shared" si="32"/>
        <v>0</v>
      </c>
      <c r="AU6" s="56">
        <f t="shared" si="26"/>
        <v>4</v>
      </c>
    </row>
    <row r="7" spans="1:47" ht="14.25" x14ac:dyDescent="0.45">
      <c r="A7" s="52">
        <v>6</v>
      </c>
      <c r="B7" s="53">
        <v>45272.418049467597</v>
      </c>
      <c r="C7" s="54" t="s">
        <v>46</v>
      </c>
      <c r="D7" s="54" t="s">
        <v>47</v>
      </c>
      <c r="E7" s="55">
        <v>365846</v>
      </c>
      <c r="F7" s="39">
        <f t="shared" si="29"/>
        <v>3</v>
      </c>
      <c r="G7" s="39">
        <f t="shared" si="30"/>
        <v>6</v>
      </c>
      <c r="H7" s="39">
        <f t="shared" si="31"/>
        <v>5</v>
      </c>
      <c r="I7" s="39">
        <f t="shared" si="3"/>
        <v>8</v>
      </c>
      <c r="J7" s="39">
        <f t="shared" si="4"/>
        <v>4</v>
      </c>
      <c r="K7" s="39">
        <f t="shared" si="5"/>
        <v>6</v>
      </c>
      <c r="L7" s="41">
        <v>1</v>
      </c>
      <c r="M7" s="54" t="s">
        <v>13</v>
      </c>
      <c r="N7" s="41">
        <f t="shared" si="6"/>
        <v>1</v>
      </c>
      <c r="O7" s="41">
        <f t="shared" si="7"/>
        <v>0</v>
      </c>
      <c r="P7" s="41">
        <f t="shared" si="8"/>
        <v>0</v>
      </c>
      <c r="Q7" s="41">
        <f t="shared" si="9"/>
        <v>0</v>
      </c>
      <c r="R7" s="41">
        <f t="shared" si="10"/>
        <v>0</v>
      </c>
      <c r="S7" s="41">
        <f t="shared" si="11"/>
        <v>1</v>
      </c>
      <c r="T7" s="54" t="s">
        <v>48</v>
      </c>
      <c r="U7" s="41">
        <f t="shared" si="12"/>
        <v>0</v>
      </c>
      <c r="V7" s="41">
        <f t="shared" si="13"/>
        <v>1</v>
      </c>
      <c r="W7" s="41">
        <f t="shared" si="14"/>
        <v>0</v>
      </c>
      <c r="X7" s="41">
        <f t="shared" si="15"/>
        <v>0</v>
      </c>
      <c r="Y7" s="41">
        <f t="shared" si="16"/>
        <v>1</v>
      </c>
      <c r="Z7" s="41">
        <f t="shared" si="17"/>
        <v>-1</v>
      </c>
      <c r="AA7" s="54" t="s">
        <v>24</v>
      </c>
      <c r="AB7" s="45">
        <f t="shared" si="18"/>
        <v>-6.0205999132796242</v>
      </c>
      <c r="AC7" s="46" t="s">
        <v>92</v>
      </c>
      <c r="AD7" s="41">
        <v>1</v>
      </c>
      <c r="AE7" s="54" t="s">
        <v>49</v>
      </c>
      <c r="AF7" s="47">
        <v>0.41</v>
      </c>
      <c r="AG7" s="46" t="s">
        <v>103</v>
      </c>
      <c r="AH7" s="41">
        <v>1</v>
      </c>
      <c r="AI7" s="54" t="s">
        <v>50</v>
      </c>
      <c r="AJ7" s="47">
        <f t="shared" si="21"/>
        <v>1.4117647058823528</v>
      </c>
      <c r="AK7" s="46" t="s">
        <v>103</v>
      </c>
      <c r="AL7" s="41">
        <f t="shared" si="22"/>
        <v>1</v>
      </c>
      <c r="AM7" s="58" t="s">
        <v>51</v>
      </c>
      <c r="AN7" s="45">
        <f t="shared" si="23"/>
        <v>75.017088958898256</v>
      </c>
      <c r="AO7" s="46" t="s">
        <v>116</v>
      </c>
      <c r="AP7" s="41">
        <f t="shared" si="24"/>
        <v>-1</v>
      </c>
      <c r="AQ7" s="57"/>
      <c r="AR7" s="45">
        <f t="shared" si="25"/>
        <v>18.129133566428553</v>
      </c>
      <c r="AS7" s="46" t="s">
        <v>116</v>
      </c>
      <c r="AT7" s="41">
        <f t="shared" si="32"/>
        <v>0</v>
      </c>
      <c r="AU7" s="56">
        <f t="shared" si="26"/>
        <v>6</v>
      </c>
    </row>
    <row r="8" spans="1:47" ht="14.65" thickBot="1" x14ac:dyDescent="0.5">
      <c r="A8" s="59">
        <v>7</v>
      </c>
      <c r="B8" s="60">
        <v>45272.418315833333</v>
      </c>
      <c r="C8" s="61" t="s">
        <v>52</v>
      </c>
      <c r="D8" s="61" t="s">
        <v>53</v>
      </c>
      <c r="E8" s="62">
        <v>307205</v>
      </c>
      <c r="F8" s="63">
        <f t="shared" si="29"/>
        <v>3</v>
      </c>
      <c r="G8" s="63">
        <f t="shared" si="30"/>
        <v>0</v>
      </c>
      <c r="H8" s="63">
        <f t="shared" si="31"/>
        <v>7</v>
      </c>
      <c r="I8" s="63">
        <f t="shared" si="3"/>
        <v>2</v>
      </c>
      <c r="J8" s="63">
        <f t="shared" si="4"/>
        <v>0</v>
      </c>
      <c r="K8" s="63">
        <f t="shared" si="5"/>
        <v>5</v>
      </c>
      <c r="L8" s="64">
        <v>1</v>
      </c>
      <c r="M8" s="61" t="s">
        <v>13</v>
      </c>
      <c r="N8" s="64">
        <f t="shared" si="6"/>
        <v>1</v>
      </c>
      <c r="O8" s="64">
        <f t="shared" si="7"/>
        <v>0</v>
      </c>
      <c r="P8" s="64">
        <f t="shared" si="8"/>
        <v>0</v>
      </c>
      <c r="Q8" s="64">
        <f t="shared" si="9"/>
        <v>0</v>
      </c>
      <c r="R8" s="64">
        <f t="shared" si="10"/>
        <v>0</v>
      </c>
      <c r="S8" s="64">
        <f t="shared" si="11"/>
        <v>1</v>
      </c>
      <c r="T8" s="61" t="s">
        <v>54</v>
      </c>
      <c r="U8" s="64">
        <f t="shared" si="12"/>
        <v>1</v>
      </c>
      <c r="V8" s="64">
        <f t="shared" si="13"/>
        <v>1</v>
      </c>
      <c r="W8" s="64">
        <f t="shared" si="14"/>
        <v>0</v>
      </c>
      <c r="X8" s="64">
        <f t="shared" si="15"/>
        <v>0</v>
      </c>
      <c r="Y8" s="64">
        <f t="shared" si="16"/>
        <v>1</v>
      </c>
      <c r="Z8" s="64">
        <f t="shared" si="17"/>
        <v>-1</v>
      </c>
      <c r="AA8" s="61" t="s">
        <v>55</v>
      </c>
      <c r="AB8" s="65">
        <f t="shared" si="18"/>
        <v>-5.2947646273063231</v>
      </c>
      <c r="AC8" s="66" t="s">
        <v>92</v>
      </c>
      <c r="AD8" s="64">
        <v>1</v>
      </c>
      <c r="AE8" s="61" t="s">
        <v>49</v>
      </c>
      <c r="AF8" s="67">
        <v>0.41</v>
      </c>
      <c r="AG8" s="66" t="s">
        <v>103</v>
      </c>
      <c r="AH8" s="64">
        <v>1</v>
      </c>
      <c r="AI8" s="61" t="s">
        <v>56</v>
      </c>
      <c r="AJ8" s="67">
        <f t="shared" si="21"/>
        <v>1.1764705882352942</v>
      </c>
      <c r="AK8" s="66" t="s">
        <v>103</v>
      </c>
      <c r="AL8" s="64">
        <f t="shared" si="22"/>
        <v>1</v>
      </c>
      <c r="AM8" s="68"/>
      <c r="AN8" s="65">
        <f t="shared" si="23"/>
        <v>69.799402060710321</v>
      </c>
      <c r="AO8" s="66" t="s">
        <v>116</v>
      </c>
      <c r="AP8" s="64">
        <f t="shared" si="24"/>
        <v>0</v>
      </c>
      <c r="AQ8" s="68"/>
      <c r="AR8" s="65">
        <f t="shared" si="25"/>
        <v>17.853298350107671</v>
      </c>
      <c r="AS8" s="66" t="s">
        <v>116</v>
      </c>
      <c r="AT8" s="64">
        <f t="shared" si="32"/>
        <v>0</v>
      </c>
      <c r="AU8" s="69">
        <f t="shared" si="26"/>
        <v>8</v>
      </c>
    </row>
    <row r="9" spans="1:47" ht="15.75" customHeight="1" thickTop="1" x14ac:dyDescent="0.35"/>
    <row r="10" spans="1:47" ht="15.75" customHeight="1" x14ac:dyDescent="0.4">
      <c r="B10" s="48" t="s">
        <v>124</v>
      </c>
      <c r="C10" s="49"/>
      <c r="D10" s="49"/>
    </row>
    <row r="11" spans="1:47" ht="15.75" customHeight="1" x14ac:dyDescent="0.45">
      <c r="B11" s="50" t="s">
        <v>125</v>
      </c>
      <c r="C11" s="51"/>
      <c r="D11" s="51"/>
    </row>
    <row r="12" spans="1:47" ht="15.75" customHeight="1" x14ac:dyDescent="0.4">
      <c r="B12" s="49"/>
      <c r="C12" s="49"/>
      <c r="D12" s="49"/>
    </row>
  </sheetData>
  <conditionalFormatting sqref="L2:L8">
    <cfRule type="cellIs" dxfId="23" priority="22" operator="equal">
      <formula>0</formula>
    </cfRule>
    <cfRule type="cellIs" dxfId="22" priority="23" operator="equal">
      <formula>-1</formula>
    </cfRule>
    <cfRule type="cellIs" dxfId="21" priority="24" operator="equal">
      <formula>1</formula>
    </cfRule>
  </conditionalFormatting>
  <conditionalFormatting sqref="N2:S8">
    <cfRule type="cellIs" dxfId="20" priority="19" operator="equal">
      <formula>0</formula>
    </cfRule>
    <cfRule type="cellIs" dxfId="19" priority="20" operator="equal">
      <formula>-1</formula>
    </cfRule>
    <cfRule type="cellIs" dxfId="18" priority="21" operator="equal">
      <formula>1</formula>
    </cfRule>
  </conditionalFormatting>
  <conditionalFormatting sqref="U2:Z8">
    <cfRule type="cellIs" dxfId="17" priority="16" operator="equal">
      <formula>0</formula>
    </cfRule>
    <cfRule type="cellIs" dxfId="16" priority="17" operator="equal">
      <formula>-1</formula>
    </cfRule>
    <cfRule type="cellIs" dxfId="15" priority="18" operator="equal">
      <formula>1</formula>
    </cfRule>
  </conditionalFormatting>
  <conditionalFormatting sqref="AD2:AD8">
    <cfRule type="cellIs" dxfId="14" priority="13" operator="equal">
      <formula>0</formula>
    </cfRule>
    <cfRule type="cellIs" dxfId="13" priority="14" operator="equal">
      <formula>-1</formula>
    </cfRule>
    <cfRule type="cellIs" dxfId="12" priority="15" operator="equal">
      <formula>1</formula>
    </cfRule>
  </conditionalFormatting>
  <conditionalFormatting sqref="AH2:AH8">
    <cfRule type="cellIs" dxfId="11" priority="10" operator="equal">
      <formula>0</formula>
    </cfRule>
    <cfRule type="cellIs" dxfId="10" priority="11" operator="equal">
      <formula>-1</formula>
    </cfRule>
    <cfRule type="cellIs" dxfId="9" priority="12" operator="equal">
      <formula>1</formula>
    </cfRule>
  </conditionalFormatting>
  <conditionalFormatting sqref="AL2:AL8">
    <cfRule type="cellIs" dxfId="8" priority="7" operator="equal">
      <formula>0</formula>
    </cfRule>
    <cfRule type="cellIs" dxfId="7" priority="8" operator="equal">
      <formula>-1</formula>
    </cfRule>
    <cfRule type="cellIs" dxfId="6" priority="9" operator="equal">
      <formula>1</formula>
    </cfRule>
  </conditionalFormatting>
  <conditionalFormatting sqref="AP2:AP8">
    <cfRule type="cellIs" dxfId="5" priority="4" operator="equal">
      <formula>0</formula>
    </cfRule>
    <cfRule type="cellIs" dxfId="4" priority="5" operator="equal">
      <formula>-1</formula>
    </cfRule>
    <cfRule type="cellIs" dxfId="3" priority="6" operator="equal">
      <formula>1</formula>
    </cfRule>
  </conditionalFormatting>
  <conditionalFormatting sqref="AT2:AT8">
    <cfRule type="cellIs" dxfId="2" priority="1" operator="equal">
      <formula>0</formula>
    </cfRule>
    <cfRule type="cellIs" dxfId="1" priority="2" operator="equal">
      <formula>-1</formula>
    </cfRule>
    <cfRule type="cellIs" dxfId="0" priority="3" operat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2C1EA-DBC4-455A-908B-9125E7BA58C9}">
  <dimension ref="A1:J57"/>
  <sheetViews>
    <sheetView tabSelected="1" zoomScale="154" zoomScaleNormal="154" workbookViewId="0"/>
  </sheetViews>
  <sheetFormatPr defaultRowHeight="12.75" x14ac:dyDescent="0.35"/>
  <sheetData>
    <row r="1" spans="1:9" ht="13.9" x14ac:dyDescent="0.4">
      <c r="A1" s="1" t="s">
        <v>64</v>
      </c>
    </row>
    <row r="2" spans="1:9" ht="13.9" x14ac:dyDescent="0.4">
      <c r="A2" s="1"/>
    </row>
    <row r="3" spans="1:9" ht="13.15" thickBot="1" x14ac:dyDescent="0.4">
      <c r="A3" t="s">
        <v>3</v>
      </c>
    </row>
    <row r="4" spans="1:9" ht="13.5" thickTop="1" thickBot="1" x14ac:dyDescent="0.4">
      <c r="A4" s="20" t="s">
        <v>58</v>
      </c>
      <c r="B4" s="21" t="s">
        <v>59</v>
      </c>
      <c r="C4" s="21" t="s">
        <v>60</v>
      </c>
      <c r="D4" s="21" t="s">
        <v>61</v>
      </c>
      <c r="E4" s="21" t="s">
        <v>62</v>
      </c>
      <c r="F4" s="22" t="s">
        <v>63</v>
      </c>
    </row>
    <row r="5" spans="1:9" ht="13.15" thickBot="1" x14ac:dyDescent="0.4">
      <c r="A5" s="23">
        <v>1</v>
      </c>
      <c r="B5" s="24">
        <v>2</v>
      </c>
      <c r="C5" s="24">
        <v>3</v>
      </c>
      <c r="D5" s="24">
        <v>4</v>
      </c>
      <c r="E5" s="24">
        <v>5</v>
      </c>
      <c r="F5" s="25">
        <v>6</v>
      </c>
    </row>
    <row r="6" spans="1:9" ht="13.15" thickTop="1" x14ac:dyDescent="0.35"/>
    <row r="7" spans="1:9" ht="14.25" x14ac:dyDescent="0.35">
      <c r="A7" s="8" t="s">
        <v>65</v>
      </c>
      <c r="I7" s="3" t="s">
        <v>66</v>
      </c>
    </row>
    <row r="8" spans="1:9" ht="14.25" x14ac:dyDescent="0.35">
      <c r="A8" s="11" t="s">
        <v>67</v>
      </c>
      <c r="B8" s="12"/>
      <c r="C8" s="12"/>
      <c r="D8" s="12"/>
      <c r="E8" s="12"/>
      <c r="F8" s="12"/>
      <c r="G8" s="12"/>
      <c r="H8" s="12"/>
      <c r="I8" s="12"/>
    </row>
    <row r="9" spans="1:9" ht="14.25" x14ac:dyDescent="0.35">
      <c r="A9" s="9" t="s">
        <v>68</v>
      </c>
    </row>
    <row r="10" spans="1:9" ht="14.25" x14ac:dyDescent="0.35">
      <c r="A10" s="9" t="s">
        <v>69</v>
      </c>
    </row>
    <row r="11" spans="1:9" ht="14.25" x14ac:dyDescent="0.35">
      <c r="A11" s="9" t="s">
        <v>70</v>
      </c>
    </row>
    <row r="12" spans="1:9" ht="14.25" x14ac:dyDescent="0.35">
      <c r="A12" s="9" t="s">
        <v>71</v>
      </c>
    </row>
    <row r="13" spans="1:9" ht="14.25" x14ac:dyDescent="0.35">
      <c r="A13" s="11" t="s">
        <v>72</v>
      </c>
      <c r="B13" s="12"/>
      <c r="C13" s="12"/>
      <c r="D13" s="12"/>
      <c r="E13" s="12"/>
      <c r="F13" s="12"/>
      <c r="G13" s="12"/>
      <c r="H13" s="12"/>
      <c r="I13" s="12"/>
    </row>
    <row r="14" spans="1:9" ht="14.25" x14ac:dyDescent="0.35">
      <c r="A14" s="8"/>
    </row>
    <row r="15" spans="1:9" ht="14.25" x14ac:dyDescent="0.35">
      <c r="A15" s="8" t="s">
        <v>73</v>
      </c>
      <c r="I15" s="3" t="s">
        <v>66</v>
      </c>
    </row>
    <row r="16" spans="1:9" ht="14.25" x14ac:dyDescent="0.35">
      <c r="A16" s="11" t="s">
        <v>74</v>
      </c>
      <c r="B16" s="12"/>
      <c r="C16" s="12"/>
      <c r="D16" s="12"/>
      <c r="E16" s="12"/>
      <c r="F16" s="12"/>
      <c r="G16" s="12"/>
      <c r="H16" s="12"/>
    </row>
    <row r="17" spans="1:10" ht="14.25" x14ac:dyDescent="0.35">
      <c r="A17" s="11" t="s">
        <v>75</v>
      </c>
      <c r="B17" s="12"/>
      <c r="C17" s="12"/>
      <c r="D17" s="12"/>
      <c r="E17" s="12"/>
      <c r="F17" s="12"/>
      <c r="G17" s="12"/>
      <c r="H17" s="12"/>
    </row>
    <row r="18" spans="1:10" ht="14.25" x14ac:dyDescent="0.35">
      <c r="A18" s="9" t="s">
        <v>76</v>
      </c>
    </row>
    <row r="19" spans="1:10" ht="14.25" x14ac:dyDescent="0.35">
      <c r="A19" s="9" t="s">
        <v>77</v>
      </c>
    </row>
    <row r="20" spans="1:10" ht="14.25" x14ac:dyDescent="0.35">
      <c r="A20" s="11" t="s">
        <v>78</v>
      </c>
      <c r="B20" s="12"/>
      <c r="C20" s="12"/>
      <c r="D20" s="12"/>
      <c r="E20" s="12"/>
      <c r="F20" s="12"/>
      <c r="G20" s="12"/>
      <c r="H20" s="12"/>
    </row>
    <row r="21" spans="1:10" ht="14.25" x14ac:dyDescent="0.35">
      <c r="A21" s="9" t="s">
        <v>79</v>
      </c>
    </row>
    <row r="22" spans="1:10" ht="14.25" x14ac:dyDescent="0.35">
      <c r="A22" s="10"/>
    </row>
    <row r="23" spans="1:10" ht="29.65" customHeight="1" x14ac:dyDescent="0.35">
      <c r="A23" s="6" t="s">
        <v>80</v>
      </c>
      <c r="B23" s="7"/>
      <c r="C23" s="7"/>
      <c r="D23" s="7"/>
      <c r="E23" s="7"/>
      <c r="F23" s="7"/>
      <c r="G23" s="7"/>
      <c r="H23" s="7"/>
      <c r="I23" s="7"/>
      <c r="J23" s="7"/>
    </row>
    <row r="24" spans="1:10" ht="14.25" x14ac:dyDescent="0.35">
      <c r="A24" s="4" t="s">
        <v>81</v>
      </c>
    </row>
    <row r="25" spans="1:10" ht="14.65" thickBot="1" x14ac:dyDescent="0.4">
      <c r="A25" s="5" t="s">
        <v>87</v>
      </c>
      <c r="B25">
        <f>60+5*F5</f>
        <v>90</v>
      </c>
      <c r="C25" s="13" t="s">
        <v>88</v>
      </c>
      <c r="D25">
        <f>B25/180*PI()</f>
        <v>1.5707963267948966</v>
      </c>
      <c r="E25" s="13" t="s">
        <v>89</v>
      </c>
    </row>
    <row r="26" spans="1:10" ht="15" thickTop="1" thickBot="1" x14ac:dyDescent="0.4">
      <c r="A26" s="5" t="s">
        <v>90</v>
      </c>
      <c r="D26">
        <f>0.5+0.5*COS(D25)</f>
        <v>0.5</v>
      </c>
      <c r="E26" s="14" t="s">
        <v>91</v>
      </c>
      <c r="F26" s="16">
        <f>20*LOG10(D26)</f>
        <v>-6.0205999132796242</v>
      </c>
      <c r="G26" s="17" t="s">
        <v>92</v>
      </c>
    </row>
    <row r="27" spans="1:10" ht="14.65" thickTop="1" x14ac:dyDescent="0.35">
      <c r="A27" s="2"/>
    </row>
    <row r="28" spans="1:10" ht="30.75" customHeight="1" x14ac:dyDescent="0.35">
      <c r="A28" s="18" t="s">
        <v>82</v>
      </c>
      <c r="B28" s="7"/>
      <c r="C28" s="7"/>
      <c r="D28" s="7"/>
      <c r="E28" s="7"/>
      <c r="F28" s="7"/>
      <c r="G28" s="7"/>
      <c r="H28" s="7"/>
      <c r="I28" s="7"/>
      <c r="J28" s="7"/>
    </row>
    <row r="29" spans="1:10" ht="14.25" x14ac:dyDescent="0.35">
      <c r="A29" s="4" t="s">
        <v>81</v>
      </c>
    </row>
    <row r="30" spans="1:10" ht="14.25" x14ac:dyDescent="0.35">
      <c r="A30" s="4"/>
    </row>
    <row r="31" spans="1:10" ht="14.25" x14ac:dyDescent="0.35">
      <c r="A31" s="26" t="s">
        <v>95</v>
      </c>
      <c r="C31" s="13" t="s">
        <v>93</v>
      </c>
      <c r="D31" s="13" t="s">
        <v>104</v>
      </c>
      <c r="E31">
        <v>110</v>
      </c>
      <c r="F31" s="13" t="s">
        <v>88</v>
      </c>
      <c r="G31">
        <f>E31/180*PI()</f>
        <v>1.9198621771937625</v>
      </c>
      <c r="H31" s="13" t="s">
        <v>89</v>
      </c>
    </row>
    <row r="32" spans="1:10" x14ac:dyDescent="0.35">
      <c r="D32" s="32" t="s">
        <v>99</v>
      </c>
      <c r="E32">
        <v>170</v>
      </c>
      <c r="F32" s="13" t="s">
        <v>100</v>
      </c>
      <c r="G32">
        <f>0.17</f>
        <v>0.17</v>
      </c>
      <c r="H32" s="13" t="s">
        <v>101</v>
      </c>
    </row>
    <row r="33" spans="1:10" ht="13.15" thickBot="1" x14ac:dyDescent="0.4">
      <c r="A33" s="29" t="s">
        <v>96</v>
      </c>
      <c r="B33" s="29" t="s">
        <v>97</v>
      </c>
      <c r="D33" s="13" t="s">
        <v>105</v>
      </c>
      <c r="G33">
        <f>b*SIN(alpha/2)</f>
        <v>0.13925584752912862</v>
      </c>
      <c r="H33" s="13" t="s">
        <v>101</v>
      </c>
    </row>
    <row r="34" spans="1:10" ht="13.5" thickTop="1" thickBot="1" x14ac:dyDescent="0.4">
      <c r="A34" s="30" t="s">
        <v>98</v>
      </c>
      <c r="D34" s="13" t="s">
        <v>102</v>
      </c>
      <c r="G34" s="31">
        <f>d/340*1000</f>
        <v>0.4095760221444959</v>
      </c>
      <c r="H34" s="15" t="s">
        <v>103</v>
      </c>
    </row>
    <row r="35" spans="1:10" ht="13.15" thickTop="1" x14ac:dyDescent="0.35"/>
    <row r="36" spans="1:10" x14ac:dyDescent="0.35">
      <c r="A36" s="27" t="s">
        <v>94</v>
      </c>
      <c r="B36" s="28"/>
    </row>
    <row r="37" spans="1:10" ht="14.25" x14ac:dyDescent="0.35">
      <c r="A37" s="4" t="s">
        <v>83</v>
      </c>
    </row>
    <row r="38" spans="1:10" ht="27.75" customHeight="1" x14ac:dyDescent="0.35">
      <c r="A38" s="18" t="s">
        <v>84</v>
      </c>
      <c r="B38" s="7"/>
      <c r="C38" s="7"/>
      <c r="D38" s="7"/>
      <c r="E38" s="7"/>
      <c r="F38" s="7"/>
      <c r="G38" s="7"/>
      <c r="H38" s="7"/>
      <c r="I38" s="7"/>
      <c r="J38" s="7"/>
    </row>
    <row r="39" spans="1:10" ht="14.25" x14ac:dyDescent="0.35">
      <c r="A39" s="5" t="s">
        <v>85</v>
      </c>
      <c r="B39" s="5"/>
      <c r="C39" s="19"/>
      <c r="D39" s="19"/>
      <c r="E39" s="19"/>
      <c r="F39" s="19"/>
      <c r="G39" s="19"/>
      <c r="H39" s="19"/>
      <c r="I39" s="19"/>
      <c r="J39" s="19"/>
    </row>
    <row r="40" spans="1:10" ht="14.25" x14ac:dyDescent="0.35">
      <c r="A40" s="4" t="s">
        <v>81</v>
      </c>
      <c r="B40" s="19"/>
      <c r="C40" s="19"/>
      <c r="D40" s="19"/>
      <c r="E40" s="19"/>
      <c r="F40" s="19"/>
      <c r="G40" s="19"/>
      <c r="H40" s="19"/>
      <c r="I40" s="19"/>
      <c r="J40" s="19"/>
    </row>
    <row r="41" spans="1:10" ht="14.65" thickBot="1" x14ac:dyDescent="0.4">
      <c r="A41" s="4" t="s">
        <v>106</v>
      </c>
      <c r="B41">
        <f>20+E5</f>
        <v>25</v>
      </c>
      <c r="C41" s="33" t="s">
        <v>107</v>
      </c>
      <c r="D41">
        <f>B41/100</f>
        <v>0.25</v>
      </c>
      <c r="E41" s="13" t="s">
        <v>101</v>
      </c>
    </row>
    <row r="42" spans="1:10" ht="15" thickTop="1" thickBot="1" x14ac:dyDescent="0.4">
      <c r="A42" s="5" t="s">
        <v>108</v>
      </c>
      <c r="D42" s="31">
        <f>2*dist/340*1000</f>
        <v>1.4705882352941175</v>
      </c>
      <c r="E42" s="15" t="s">
        <v>103</v>
      </c>
    </row>
    <row r="43" spans="1:10" ht="13.15" thickTop="1" x14ac:dyDescent="0.35"/>
    <row r="44" spans="1:10" ht="47.65" customHeight="1" x14ac:dyDescent="0.35">
      <c r="A44" s="18" t="s">
        <v>118</v>
      </c>
      <c r="B44" s="7"/>
      <c r="C44" s="7"/>
      <c r="D44" s="7"/>
      <c r="E44" s="7"/>
      <c r="F44" s="7"/>
      <c r="G44" s="7"/>
      <c r="H44" s="7"/>
      <c r="I44" s="7"/>
      <c r="J44" s="7"/>
    </row>
    <row r="45" spans="1:10" ht="14.25" x14ac:dyDescent="0.35">
      <c r="A45" s="4" t="s">
        <v>81</v>
      </c>
    </row>
    <row r="46" spans="1:10" ht="14.25" x14ac:dyDescent="0.35">
      <c r="A46" s="4" t="s">
        <v>109</v>
      </c>
      <c r="C46">
        <f>100+E5</f>
        <v>105</v>
      </c>
      <c r="D46" s="13" t="s">
        <v>116</v>
      </c>
      <c r="E46" s="32" t="s">
        <v>110</v>
      </c>
      <c r="F46" s="13">
        <f>200+F5*10</f>
        <v>260</v>
      </c>
      <c r="G46" s="13" t="s">
        <v>101</v>
      </c>
    </row>
    <row r="47" spans="1:10" ht="13.15" x14ac:dyDescent="0.35">
      <c r="A47" s="37" t="s">
        <v>111</v>
      </c>
      <c r="B47">
        <f>20+D5</f>
        <v>24</v>
      </c>
      <c r="C47" s="13" t="s">
        <v>112</v>
      </c>
    </row>
    <row r="48" spans="1:10" ht="14.25" x14ac:dyDescent="0.35">
      <c r="A48" s="4" t="s">
        <v>113</v>
      </c>
      <c r="F48">
        <f>SEL+10*LOG10(L/100)</f>
        <v>109.14973347970817</v>
      </c>
      <c r="G48" s="13" t="s">
        <v>116</v>
      </c>
    </row>
    <row r="49" spans="1:10" ht="14.65" thickBot="1" x14ac:dyDescent="0.4">
      <c r="A49" s="4" t="s">
        <v>114</v>
      </c>
      <c r="F49">
        <f>SELl+10*LOG10(Nt)</f>
        <v>122.95184589682424</v>
      </c>
      <c r="G49" s="13" t="s">
        <v>115</v>
      </c>
      <c r="J49" s="4" t="s">
        <v>83</v>
      </c>
    </row>
    <row r="50" spans="1:10" ht="15" thickTop="1" thickBot="1" x14ac:dyDescent="0.4">
      <c r="A50" s="4" t="s">
        <v>117</v>
      </c>
      <c r="F50" s="34">
        <f>SELtot-10*LOG10(16*3600)</f>
        <v>75.347621062592111</v>
      </c>
      <c r="G50" s="15" t="s">
        <v>116</v>
      </c>
      <c r="J50" s="4"/>
    </row>
    <row r="51" spans="1:10" ht="14.65" thickTop="1" x14ac:dyDescent="0.35">
      <c r="A51" s="5"/>
    </row>
    <row r="52" spans="1:10" ht="27" customHeight="1" x14ac:dyDescent="0.35">
      <c r="A52" s="18" t="s">
        <v>86</v>
      </c>
      <c r="B52" s="7"/>
      <c r="C52" s="7"/>
      <c r="D52" s="7"/>
      <c r="E52" s="7"/>
      <c r="F52" s="7"/>
      <c r="G52" s="7"/>
      <c r="H52" s="7"/>
      <c r="I52" s="7"/>
      <c r="J52" s="7"/>
    </row>
    <row r="53" spans="1:10" ht="14.25" x14ac:dyDescent="0.35">
      <c r="A53" s="4" t="s">
        <v>81</v>
      </c>
    </row>
    <row r="54" spans="1:10" x14ac:dyDescent="0.35">
      <c r="A54" s="36" t="s">
        <v>119</v>
      </c>
      <c r="B54">
        <f>1+F5/10</f>
        <v>1.6</v>
      </c>
      <c r="C54" s="13" t="s">
        <v>101</v>
      </c>
    </row>
    <row r="55" spans="1:10" ht="14.65" thickBot="1" x14ac:dyDescent="0.4">
      <c r="A55" s="4"/>
    </row>
    <row r="56" spans="1:10" ht="13.5" thickTop="1" thickBot="1" x14ac:dyDescent="0.4">
      <c r="C56" s="35" t="s">
        <v>91</v>
      </c>
      <c r="D56" s="34">
        <f>10*LOG10(1+40*delta)</f>
        <v>18.129133566428553</v>
      </c>
      <c r="E56" s="15" t="s">
        <v>116</v>
      </c>
    </row>
    <row r="57" spans="1:10" ht="13.15" thickTop="1" x14ac:dyDescent="0.35"/>
  </sheetData>
  <mergeCells count="6">
    <mergeCell ref="A23:J23"/>
    <mergeCell ref="A28:J28"/>
    <mergeCell ref="A38:J38"/>
    <mergeCell ref="A44:J44"/>
    <mergeCell ref="A52:J52"/>
    <mergeCell ref="A36:B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Form responses 1</vt:lpstr>
      <vt:lpstr>Solution</vt:lpstr>
      <vt:lpstr>alpha</vt:lpstr>
      <vt:lpstr>b</vt:lpstr>
      <vt:lpstr>d</vt:lpstr>
      <vt:lpstr>delta</vt:lpstr>
      <vt:lpstr>dist</vt:lpstr>
      <vt:lpstr>L</vt:lpstr>
      <vt:lpstr>Nt</vt:lpstr>
      <vt:lpstr>SEL</vt:lpstr>
      <vt:lpstr>SELl</vt:lpstr>
      <vt:lpstr>SELtot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Angelo Farina</cp:lastModifiedBy>
  <dcterms:created xsi:type="dcterms:W3CDTF">2023-12-12T15:51:57Z</dcterms:created>
  <dcterms:modified xsi:type="dcterms:W3CDTF">2023-12-16T16:29:09Z</dcterms:modified>
</cp:coreProperties>
</file>