
<file path=[Content_Types].xml><?xml version="1.0" encoding="utf-8"?>
<Types xmlns="http://schemas.openxmlformats.org/package/2006/content-types">
  <Default ContentType="application/xml" Extension="xml"/>
  <Default ContentType="image/png" Extension="png"/>
  <Default ContentType="application/vnd.openxmlformats-package.relationships+xml" Extension="rels"/>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sharedStrings+xml" PartName="/xl/sharedStrings.xml"/>
  <Override ContentType="application/vnd.openxmlformats-officedocument.drawing+xml" PartName="/xl/drawings/drawing1.xml"/>
  <Override ContentType="application/vnd.openxmlformats-officedocument.drawing+xml" PartName="/xl/drawings/drawing2.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Form responses 1" sheetId="1" r:id="rId4"/>
    <sheet state="visible" name="Solution" sheetId="2" r:id="rId5"/>
  </sheets>
  <definedNames>
    <definedName name="T">Solution!$E$70</definedName>
    <definedName name="Delta">Solution!$B$41</definedName>
    <definedName name="c_0">Solution!$E$41</definedName>
    <definedName name="DLri">Solution!$D$37</definedName>
    <definedName name="I_Dc">Solution!$B$32</definedName>
    <definedName name="SWR">Solution!$B$26</definedName>
  </definedNames>
  <calcPr/>
</workbook>
</file>

<file path=xl/sharedStrings.xml><?xml version="1.0" encoding="utf-8"?>
<sst xmlns="http://schemas.openxmlformats.org/spreadsheetml/2006/main" count="230" uniqueCount="164">
  <si>
    <t>N.</t>
  </si>
  <si>
    <t>Timestamp</t>
  </si>
  <si>
    <t>Email address</t>
  </si>
  <si>
    <t>Surname and Name</t>
  </si>
  <si>
    <t>Matricula</t>
  </si>
  <si>
    <t>A</t>
  </si>
  <si>
    <t>B</t>
  </si>
  <si>
    <t>C</t>
  </si>
  <si>
    <t>D</t>
  </si>
  <si>
    <t>E</t>
  </si>
  <si>
    <t>F</t>
  </si>
  <si>
    <t>Online</t>
  </si>
  <si>
    <t>1) Check the sentences you think are TRUE</t>
  </si>
  <si>
    <t>2) Check the sentences you think are always TRUE</t>
  </si>
  <si>
    <t xml:space="preserve">3) In a standing wave tube the value of the SWR  is 3+F/4. Compute the apparent absorption coefficient, α, of the sample inserted in the tube.              </t>
  </si>
  <si>
    <t>OK Value</t>
  </si>
  <si>
    <t>Score</t>
  </si>
  <si>
    <t xml:space="preserve">4) In a standing wave tube the intensity/density ratio (I/Dc) is 0.2+F/20. Compute the apparent absorption coefficient, α, of the sample inserted in the tube.              </t>
  </si>
  <si>
    <t xml:space="preserve">5) A measurement according to EN 1793/5 is performed on a noise barrier, resulting in a reduction of the level of reflected noise, DLri, equal to 3+E/4 dB(A). Compute the average reflection index, RI, of the barrier </t>
  </si>
  <si>
    <t>6) A noise barrier creates an incremental path Delta of 0.5+F/10 m. The spectrum of the noise is flat (pink) between 125 Hz and 4 kHz. Compute the barrier attenuation in dB(A).</t>
  </si>
  <si>
    <t>OK unit</t>
  </si>
  <si>
    <t>7) Compute the SEL for the following noise level profile:</t>
  </si>
  <si>
    <t>TOTAL</t>
  </si>
  <si>
    <t>vinaysankar@outlook.com</t>
  </si>
  <si>
    <t>sankar vinay</t>
  </si>
  <si>
    <t>A standing wave tube measures the true value of Alpha for normal incidence, The sound intensity method can be used either inside a tube or in free field, Simulations done with computer programs require to use the true value of Alpha</t>
  </si>
  <si>
    <t>The absolute immission limits (LAq,day, LAeq,night) depend on the land’s zoning, The differential immission limits are different for day and night, The environmental noise level must be corrected for the presence of tonal components, The environmental noise level must be corrected for the presence of impulsive components</t>
  </si>
  <si>
    <t>13.3 dB(A)</t>
  </si>
  <si>
    <t>dB(A)</t>
  </si>
  <si>
    <t>124.6 dB(A)</t>
  </si>
  <si>
    <t>prince.mathew@studenti.unipr.it</t>
  </si>
  <si>
    <t>Mathew Prince</t>
  </si>
  <si>
    <t>The environmental noise level must be corrected for the presence of tonal components</t>
  </si>
  <si>
    <t>14.4 dB(A)</t>
  </si>
  <si>
    <t>125.808dB(A)</t>
  </si>
  <si>
    <t>milann1134@gmail.com</t>
  </si>
  <si>
    <t xml:space="preserve">Milosta Hanna </t>
  </si>
  <si>
    <t>ISO354 measures Alpha Sabine, which is always larger than the true Alpha of a material, The sound intensity method can be used either inside a tube or in free field, Simulations done with computer programs require to use the true value of Alpha, The scattering coefficient s is always smaller than Alpha</t>
  </si>
  <si>
    <t>The absolute immission limits (LAq,day, LAeq,night) depend on the land’s zoning, The environmental noise level must be corrected for the presence of impulsive components, Lden is always larger than Lday for any noise profiles.</t>
  </si>
  <si>
    <t>88 dB(A)</t>
  </si>
  <si>
    <t>mahdi.habibi@studenti.unipr.it</t>
  </si>
  <si>
    <t>mahdi habibi</t>
  </si>
  <si>
    <t>legrouxthibaut@gmail.com</t>
  </si>
  <si>
    <t>Thibaut Legroux</t>
  </si>
  <si>
    <t>A standing wave tube measures the true value of Alpha for normal incidence, The impulsive method (EN 1793-5) does not measure the true value of Alpha nor Alpha Sabine., The sound intensity method can be used either inside a tube or in free field, The scattering coefficient s is always smaller than Alpha</t>
  </si>
  <si>
    <t>The differential immission limits are different for day and night, The environmental noise level must be corrected for the presence of tonal components, The environmental noise level must be corrected for the presence of impulsive components</t>
  </si>
  <si>
    <t>120.64 dB(A)</t>
  </si>
  <si>
    <t>basant.kumar@studenti.unipr.it</t>
  </si>
  <si>
    <t xml:space="preserve">Basant Kumar </t>
  </si>
  <si>
    <t>3 6 7 5 0 4</t>
  </si>
  <si>
    <t>Alpha= 3/5</t>
  </si>
  <si>
    <t>Alpha =3/7</t>
  </si>
  <si>
    <t>RI= 3 dB(A)</t>
  </si>
  <si>
    <t>Attenuation= 7.96 dB(A)</t>
  </si>
  <si>
    <t>SEL = 9450.6 dB</t>
  </si>
  <si>
    <t>violettegobert79@gmail.com</t>
  </si>
  <si>
    <t>Gobert Violette</t>
  </si>
  <si>
    <t>124.74 dB(A)</t>
  </si>
  <si>
    <t>ahmed.saleh201511@gmail.com</t>
  </si>
  <si>
    <t>Ahmed Saleh</t>
  </si>
  <si>
    <t>A standing wave tube measures the true value of Alpha for normal incidence, The sound intensity method can be used either inside a tube or in free field, The scattering coefficient s is always smaller than Alpha</t>
  </si>
  <si>
    <t>The environmental noise level must be corrected for the presence of tonal components, Lden is always larger than Lday for any noise profiles.</t>
  </si>
  <si>
    <t>.75 m^2</t>
  </si>
  <si>
    <t>.33 m^2</t>
  </si>
  <si>
    <t>.001 db(A)</t>
  </si>
  <si>
    <t>10.8 db(A)</t>
  </si>
  <si>
    <t>123.604 db(A)</t>
  </si>
  <si>
    <t>Md.Abdullah@studenti.unipr.it</t>
  </si>
  <si>
    <t>Md Abdullah</t>
  </si>
  <si>
    <t>A standing wave tube measures the true value of Alpha for normal incidence, The sound intensity method can be used either inside a tube or in free field</t>
  </si>
  <si>
    <t xml:space="preserve"> α=0.556</t>
  </si>
  <si>
    <t xml:space="preserve"> α= 0.23</t>
  </si>
  <si>
    <t>-4 dB(A)</t>
  </si>
  <si>
    <t>14.4 db(A)</t>
  </si>
  <si>
    <t>SEL-tot= 470.047 dB(A)</t>
  </si>
  <si>
    <t>mohamedsalemkhalifa.alshawish@studenti.unipr.it</t>
  </si>
  <si>
    <t xml:space="preserve">Alshawish Mohamed </t>
  </si>
  <si>
    <t>3 6 7 7 9 8</t>
  </si>
  <si>
    <t>0.78222 sabins/m^s</t>
  </si>
  <si>
    <t>0.59 sabins/m^2</t>
  </si>
  <si>
    <t>0.001 DB</t>
  </si>
  <si>
    <t>14.4 Db(A)</t>
  </si>
  <si>
    <t>81.57, 76.56, 119.33, 122.58 Db(A)</t>
  </si>
  <si>
    <t>mirko.monaco@studenti.unipr.it</t>
  </si>
  <si>
    <t>Monaco Mirko</t>
  </si>
  <si>
    <t>ISO354 measures Alpha Sabine, which is always larger than the true Alpha of a material, A standing wave tube measures the true value of Alpha for normal incidence, The impulsive method (EN 1793-5) does not measure the true value of Alpha nor Alpha Sabine., The sound intensity method can be used either inside a tube or in free field, Simulations done with computer programs require to use the true value of Alpha</t>
  </si>
  <si>
    <t>The absolute immission limits (LAq,day, LAeq,night) depend on the land’s zoning, The environmental noise level must be corrected for the presence of tonal components, The environmental noise level must be corrected for the presence of impulsive components, Lnight measured according to the EN Directive is always equal or smaller than Lnight measured according to the old Italian law</t>
  </si>
  <si>
    <t>14.8 dB(A)</t>
  </si>
  <si>
    <t>124.0 dB(A)</t>
  </si>
  <si>
    <t>francesco.mortali@studenti.unipr.it</t>
  </si>
  <si>
    <t>Mortali Francesco</t>
  </si>
  <si>
    <t>123.202 dB(A)</t>
  </si>
  <si>
    <t>andrea.ronga@studenti.unipr.it</t>
  </si>
  <si>
    <t>RONGA ANDREA</t>
  </si>
  <si>
    <t>A standing wave tube measures the true value of Alpha for normal incidence, The impulsive method (EN 1793-5) does not measure the true value of Alpha nor Alpha Sabine., The sound intensity method can be used either inside a tube or in free field</t>
  </si>
  <si>
    <t>The absolute immission limits (LAq,day, LAeq,night) depend on the land’s zoning, The differential immission limits are different for day and night, The environmental noise level must be corrected for the presence of tonal components, The environmental noise level must be corrected for the presence of impulsive components, Lnight measured according to the EN Directive is always equal or smaller than Lnight measured according to the old Italian law</t>
  </si>
  <si>
    <t>16.1 dB(A)</t>
  </si>
  <si>
    <t>124.42 dB(A)</t>
  </si>
  <si>
    <t>breeabdellah@gmail.com</t>
  </si>
  <si>
    <t xml:space="preserve">Brara abdellah </t>
  </si>
  <si>
    <t>The absolute immission limits (LAq,day, LAeq,night) depend on the land’s zoning, The differential immission limits are different for day and night, The environmental noise level must be corrected for the presence of tonal components, Lden is always larger than Lday for any noise profiles.</t>
  </si>
  <si>
    <t>_5.76</t>
  </si>
  <si>
    <t>45.01(dba),42.21(dba)+78.01(dba)+82.01(dba)</t>
  </si>
  <si>
    <t>Note: formatting errors causing the loss of 1 point</t>
  </si>
  <si>
    <t>Wrong Formatting (spaces or slashes)</t>
  </si>
  <si>
    <t>Wrong Formatting (simbols before number or after unit)</t>
  </si>
  <si>
    <t>Wrong unit</t>
  </si>
  <si>
    <t>Note: Formatting errors not penalised (for this time)</t>
  </si>
  <si>
    <t>Comma instead of decimal dot, unit in extended format</t>
  </si>
  <si>
    <t>Meaningless number (no matricula or date of birth)</t>
  </si>
  <si>
    <t>Applied Acoustics - In-class test - 27/11/2023</t>
  </si>
  <si>
    <r>
      <rPr>
        <rFont val="Calibri"/>
        <b/>
        <color rgb="FF000000"/>
        <sz val="11.0"/>
      </rPr>
      <t>1)</t>
    </r>
    <r>
      <rPr>
        <rFont val="Times New Roman"/>
        <b/>
        <color rgb="FF000000"/>
        <sz val="7.0"/>
      </rPr>
      <t xml:space="preserve">      </t>
    </r>
    <r>
      <rPr>
        <rFont val="Calibri"/>
        <b/>
        <color rgb="FF000000"/>
        <sz val="11.0"/>
      </rPr>
      <t>Check the sentences you think are always TRUE</t>
    </r>
  </si>
  <si>
    <t>(multiple answers allowed)</t>
  </si>
  <si>
    <r>
      <rPr>
        <rFont val="Noto Sans Symbols"/>
        <color rgb="FF202124"/>
        <sz val="11.0"/>
      </rPr>
      <t>¨</t>
    </r>
    <r>
      <rPr>
        <rFont val="Times New Roman"/>
        <color rgb="FF202124"/>
        <sz val="7.0"/>
      </rPr>
      <t xml:space="preserve">  </t>
    </r>
    <r>
      <rPr>
        <rFont val="Calibri"/>
        <color rgb="FF202124"/>
        <sz val="11.0"/>
      </rPr>
      <t>ISO354 measures Alpha Sabine, which is always larger than the true Alpha of a material</t>
    </r>
  </si>
  <si>
    <r>
      <rPr>
        <rFont val="Noto Sans Symbols"/>
        <color rgb="FF202124"/>
        <sz val="11.0"/>
      </rPr>
      <t>¨</t>
    </r>
    <r>
      <rPr>
        <rFont val="Times New Roman"/>
        <color rgb="FF202124"/>
        <sz val="7.0"/>
      </rPr>
      <t xml:space="preserve">  </t>
    </r>
    <r>
      <rPr>
        <rFont val="Calibri"/>
        <color rgb="FF202124"/>
        <sz val="11.0"/>
      </rPr>
      <t>A standing wave tube measures the true value of Alpha for normal incidence</t>
    </r>
  </si>
  <si>
    <r>
      <rPr>
        <rFont val="Noto Sans Symbols"/>
        <color rgb="FF202124"/>
        <sz val="11.0"/>
      </rPr>
      <t>¨</t>
    </r>
    <r>
      <rPr>
        <rFont val="Times New Roman"/>
        <color rgb="FF202124"/>
        <sz val="7.0"/>
      </rPr>
      <t xml:space="preserve">  </t>
    </r>
    <r>
      <rPr>
        <rFont val="Calibri"/>
        <color rgb="FF202124"/>
        <sz val="11.0"/>
      </rPr>
      <t>The impulsive method (EN 1793-5) does not measure the true value of Alpha nor Alpha Sabine.</t>
    </r>
  </si>
  <si>
    <r>
      <rPr>
        <rFont val="Noto Sans Symbols"/>
        <color rgb="FF202124"/>
        <sz val="11.0"/>
      </rPr>
      <t>¨</t>
    </r>
    <r>
      <rPr>
        <rFont val="Times New Roman"/>
        <color rgb="FF202124"/>
        <sz val="7.0"/>
      </rPr>
      <t xml:space="preserve">  </t>
    </r>
    <r>
      <rPr>
        <rFont val="Calibri"/>
        <color rgb="FF202124"/>
        <sz val="11.0"/>
      </rPr>
      <t>The sound intensity method can be used either inside a tube or in free field</t>
    </r>
  </si>
  <si>
    <r>
      <rPr>
        <rFont val="Noto Sans Symbols"/>
        <color rgb="FF202124"/>
        <sz val="11.0"/>
      </rPr>
      <t>¨</t>
    </r>
    <r>
      <rPr>
        <rFont val="Times New Roman"/>
        <color rgb="FF202124"/>
        <sz val="7.0"/>
      </rPr>
      <t xml:space="preserve">  </t>
    </r>
    <r>
      <rPr>
        <rFont val="Calibri"/>
        <color rgb="FF202124"/>
        <sz val="11.0"/>
      </rPr>
      <t>Calculations done with the Sabine formula require to use the true value of Alpha</t>
    </r>
  </si>
  <si>
    <r>
      <rPr>
        <rFont val="Noto Sans Symbols"/>
        <color rgb="FF202124"/>
        <sz val="11.0"/>
      </rPr>
      <t>¨</t>
    </r>
    <r>
      <rPr>
        <rFont val="Times New Roman"/>
        <color rgb="FF202124"/>
        <sz val="7.0"/>
      </rPr>
      <t xml:space="preserve">  </t>
    </r>
    <r>
      <rPr>
        <rFont val="Calibri"/>
        <color rgb="FF202124"/>
        <sz val="11.0"/>
      </rPr>
      <t>Simulations done with computer programs require to use the true value of Alpha</t>
    </r>
  </si>
  <si>
    <r>
      <rPr>
        <rFont val="Noto Sans Symbols"/>
        <color rgb="FF202124"/>
        <sz val="11.0"/>
      </rPr>
      <t>¨</t>
    </r>
    <r>
      <rPr>
        <rFont val="Times New Roman"/>
        <color rgb="FF202124"/>
        <sz val="7.0"/>
      </rPr>
      <t xml:space="preserve">  </t>
    </r>
    <r>
      <rPr>
        <rFont val="Calibri"/>
        <color rgb="FF202124"/>
        <sz val="11.0"/>
      </rPr>
      <t>The scattering coefficient s is always smaller than Alpha</t>
    </r>
  </si>
  <si>
    <r>
      <rPr>
        <rFont val="Calibri"/>
        <b/>
        <color rgb="FF000000"/>
        <sz val="11.0"/>
      </rPr>
      <t>2)</t>
    </r>
    <r>
      <rPr>
        <rFont val="Times New Roman"/>
        <b/>
        <color rgb="FF000000"/>
        <sz val="7.0"/>
      </rPr>
      <t xml:space="preserve">      </t>
    </r>
    <r>
      <rPr>
        <rFont val="Calibri"/>
        <b/>
        <color rgb="FF000000"/>
        <sz val="11.0"/>
      </rPr>
      <t>Check the sentences you think are always TRUE</t>
    </r>
  </si>
  <si>
    <r>
      <rPr>
        <rFont val="Noto Sans Symbols"/>
        <color rgb="FF202124"/>
        <sz val="11.0"/>
      </rPr>
      <t>¨</t>
    </r>
    <r>
      <rPr>
        <rFont val="Times New Roman"/>
        <color rgb="FF202124"/>
        <sz val="7.0"/>
      </rPr>
      <t xml:space="preserve">  </t>
    </r>
    <r>
      <rPr>
        <rFont val="Calibri"/>
        <color rgb="FF202124"/>
        <sz val="11.0"/>
      </rPr>
      <t>The absolute immission limits (LAq,day, LAeq,night) depend on the land’s zoning</t>
    </r>
  </si>
  <si>
    <r>
      <rPr>
        <rFont val="Noto Sans Symbols"/>
        <color rgb="FF202124"/>
        <sz val="11.0"/>
      </rPr>
      <t>¨</t>
    </r>
    <r>
      <rPr>
        <rFont val="Times New Roman"/>
        <color rgb="FF202124"/>
        <sz val="7.0"/>
      </rPr>
      <t xml:space="preserve">  </t>
    </r>
    <r>
      <rPr>
        <rFont val="Calibri"/>
        <color rgb="FF202124"/>
        <sz val="11.0"/>
      </rPr>
      <t>The differential immission limits are different for day and night</t>
    </r>
  </si>
  <si>
    <r>
      <rPr>
        <rFont val="Noto Sans Symbols"/>
        <color rgb="FF202124"/>
        <sz val="11.0"/>
      </rPr>
      <t>¨</t>
    </r>
    <r>
      <rPr>
        <rFont val="Times New Roman"/>
        <color rgb="FF202124"/>
        <sz val="7.0"/>
      </rPr>
      <t xml:space="preserve">  </t>
    </r>
    <r>
      <rPr>
        <rFont val="Calibri"/>
        <color rgb="FF202124"/>
        <sz val="11.0"/>
      </rPr>
      <t>The environmental noise level must be corrected for the presence of tonal components</t>
    </r>
  </si>
  <si>
    <r>
      <rPr>
        <rFont val="Noto Sans Symbols"/>
        <color rgb="FF202124"/>
        <sz val="11.0"/>
      </rPr>
      <t>¨</t>
    </r>
    <r>
      <rPr>
        <rFont val="Times New Roman"/>
        <color rgb="FF202124"/>
        <sz val="7.0"/>
      </rPr>
      <t xml:space="preserve">  </t>
    </r>
    <r>
      <rPr>
        <rFont val="Calibri"/>
        <color rgb="FF202124"/>
        <sz val="11.0"/>
      </rPr>
      <t>The environmental noise level must be corrected for the presence of impulsive components</t>
    </r>
  </si>
  <si>
    <r>
      <rPr>
        <rFont val="Noto Sans Symbols"/>
        <color rgb="FF202124"/>
        <sz val="11.0"/>
      </rPr>
      <t>¨</t>
    </r>
    <r>
      <rPr>
        <rFont val="Times New Roman"/>
        <color rgb="FF202124"/>
        <sz val="7.0"/>
      </rPr>
      <t xml:space="preserve">  </t>
    </r>
    <r>
      <rPr>
        <rFont val="Calibri"/>
        <color rgb="FF202124"/>
        <sz val="11.0"/>
      </rPr>
      <t>Lden is always larger than Lday for any noise profiles.</t>
    </r>
  </si>
  <si>
    <r>
      <rPr>
        <rFont val="Noto Sans Symbols"/>
        <color rgb="FF202124"/>
        <sz val="11.0"/>
      </rPr>
      <t>¨</t>
    </r>
    <r>
      <rPr>
        <rFont val="Times New Roman"/>
        <color rgb="FF202124"/>
        <sz val="7.0"/>
      </rPr>
      <t xml:space="preserve">  </t>
    </r>
    <r>
      <rPr>
        <rFont val="Calibri"/>
        <color rgb="FF202124"/>
        <sz val="11.0"/>
      </rPr>
      <t>Lnight measured according to the EN Directive is always equal or smaller than Lnight measured according to the old Italian law</t>
    </r>
  </si>
  <si>
    <r>
      <rPr>
        <rFont val="Calibri"/>
        <b/>
        <color rgb="FF000000"/>
        <sz val="11.0"/>
      </rPr>
      <t>3)</t>
    </r>
    <r>
      <rPr>
        <rFont val="Times New Roman"/>
        <b/>
        <color rgb="FF000000"/>
        <sz val="7.0"/>
      </rPr>
      <t xml:space="preserve">      </t>
    </r>
    <r>
      <rPr>
        <rFont val="Calibri"/>
        <b/>
        <color rgb="FF202124"/>
        <sz val="11.0"/>
      </rPr>
      <t>In a standing wave tube the value of the SWR  is 3+F/4. Compute the apparent absorption coefficient, α, of the sample inserted in the tube.</t>
    </r>
  </si>
  <si>
    <t>(write number and measurement unit)</t>
  </si>
  <si>
    <t>SWR =</t>
  </si>
  <si>
    <t>=</t>
  </si>
  <si>
    <r>
      <rPr>
        <rFont val="Calibri"/>
        <b/>
        <color rgb="FF000000"/>
        <sz val="11.0"/>
      </rPr>
      <t>4)</t>
    </r>
    <r>
      <rPr>
        <rFont val="Times New Roman"/>
        <b/>
        <color rgb="FF000000"/>
        <sz val="7.0"/>
      </rPr>
      <t xml:space="preserve">      </t>
    </r>
    <r>
      <rPr>
        <rFont val="Calibri"/>
        <b/>
        <color rgb="FF000000"/>
        <sz val="11.0"/>
      </rPr>
      <t>In a standing wave tube the intensity/density ratio (I/Dc) is 0.2+F/20. Compute the apparent absorption coefficient, α, of the sample inserted in the tube.</t>
    </r>
  </si>
  <si>
    <t>I/Dc =</t>
  </si>
  <si>
    <t xml:space="preserve"> </t>
  </si>
  <si>
    <r>
      <rPr>
        <rFont val="Calibri"/>
        <b/>
        <color rgb="FF000000"/>
        <sz val="11.0"/>
      </rPr>
      <t>5)</t>
    </r>
    <r>
      <rPr>
        <rFont val="Times New Roman"/>
        <b/>
        <color rgb="FF000000"/>
        <sz val="7.0"/>
      </rPr>
      <t xml:space="preserve">      </t>
    </r>
    <r>
      <rPr>
        <rFont val="Calibri"/>
        <b/>
        <color rgb="FF000000"/>
        <sz val="11.0"/>
      </rPr>
      <t>A measurement according to EN 1793/5 is performed on a noise barrier, resulting in a reduction of the level of reflected noise, DLri, equal to 3+E/4 dB(A). Compute the average reflection index, RI, of the barrier</t>
    </r>
  </si>
  <si>
    <t>DLri = 10*log10(1/RI) =</t>
  </si>
  <si>
    <t>dB</t>
  </si>
  <si>
    <t>RI=1/10^(DLri/10) =</t>
  </si>
  <si>
    <r>
      <rPr>
        <rFont val="Calibri"/>
        <b/>
        <color rgb="FF000000"/>
        <sz val="11.0"/>
      </rPr>
      <t>6)</t>
    </r>
    <r>
      <rPr>
        <rFont val="Times New Roman"/>
        <b/>
        <color rgb="FF000000"/>
        <sz val="7.0"/>
      </rPr>
      <t xml:space="preserve">      </t>
    </r>
    <r>
      <rPr>
        <rFont val="Calibri"/>
        <b/>
        <color rgb="FF000000"/>
        <sz val="11.0"/>
      </rPr>
      <t>A noise barrier creates an incremental path Delta of 0.5+F/10 m. The spectrum of the noise is flat (pink) between 125 Hz and 4 kHz. Compute the barrier attenuation in dB(A).</t>
    </r>
  </si>
  <si>
    <t>Delta =</t>
  </si>
  <si>
    <t>m</t>
  </si>
  <si>
    <t>c0 =</t>
  </si>
  <si>
    <t>m/s</t>
  </si>
  <si>
    <t>f (Hz)</t>
  </si>
  <si>
    <t>SUM (AW)</t>
  </si>
  <si>
    <t>Lsb (dB)</t>
  </si>
  <si>
    <t>A-weight</t>
  </si>
  <si>
    <t>LsB (dBA)</t>
  </si>
  <si>
    <t>10^(Lsb/10)</t>
  </si>
  <si>
    <r>
      <rPr>
        <rFont val="Calibri"/>
        <color rgb="FF000000"/>
        <sz val="11.0"/>
      </rPr>
      <t>N=2</t>
    </r>
    <r>
      <rPr>
        <rFont val="Symbol"/>
        <color rgb="FF000000"/>
        <sz val="11.0"/>
      </rPr>
      <t>d</t>
    </r>
    <r>
      <rPr>
        <rFont val="Calibri"/>
        <color rgb="FF000000"/>
        <sz val="11.0"/>
      </rPr>
      <t>/</t>
    </r>
    <r>
      <rPr>
        <rFont val="Symbol"/>
        <color rgb="FF000000"/>
        <sz val="11.0"/>
      </rPr>
      <t>l</t>
    </r>
    <r>
      <rPr>
        <rFont val="Calibri"/>
        <color rgb="FF000000"/>
        <sz val="11.0"/>
      </rPr>
      <t xml:space="preserve"> =</t>
    </r>
  </si>
  <si>
    <t>DeltaL</t>
  </si>
  <si>
    <t>LcB (dBA)</t>
  </si>
  <si>
    <t>10^(Lcb/10)</t>
  </si>
  <si>
    <t>Attenuation =</t>
  </si>
  <si>
    <r>
      <rPr>
        <rFont val="Calibri"/>
        <b/>
        <color rgb="FF000000"/>
        <sz val="11.0"/>
      </rPr>
      <t>7)</t>
    </r>
    <r>
      <rPr>
        <rFont val="Times New Roman"/>
        <b/>
        <color rgb="FF000000"/>
        <sz val="7.0"/>
      </rPr>
      <t xml:space="preserve">      </t>
    </r>
    <r>
      <rPr>
        <rFont val="Calibri"/>
        <b/>
        <color rgb="FF000000"/>
        <sz val="11.0"/>
      </rPr>
      <t>Compute the SEL for the following noise level profile:</t>
    </r>
  </si>
  <si>
    <t>Time</t>
  </si>
  <si>
    <t>Li (dBA)</t>
  </si>
  <si>
    <t>10^(Li/10)</t>
  </si>
  <si>
    <t>Average =</t>
  </si>
  <si>
    <t>Leq =</t>
  </si>
  <si>
    <t>T =</t>
  </si>
  <si>
    <t>h</t>
  </si>
  <si>
    <t>s</t>
  </si>
  <si>
    <t>SEL = Leq+10*log10(T) =</t>
  </si>
</sst>
</file>

<file path=xl/styles.xml><?xml version="1.0" encoding="utf-8"?>
<styleSheet xmlns="http://schemas.openxmlformats.org/spreadsheetml/2006/main" xmlns:x14ac="http://schemas.microsoft.com/office/spreadsheetml/2009/9/ac" xmlns:mc="http://schemas.openxmlformats.org/markup-compatibility/2006">
  <numFmts count="3">
    <numFmt numFmtId="164" formatCode="m/d/yyyy\ h:mm:ss"/>
    <numFmt numFmtId="165" formatCode="0.000"/>
    <numFmt numFmtId="166" formatCode="0.0"/>
  </numFmts>
  <fonts count="17">
    <font>
      <sz val="10.0"/>
      <color rgb="FF000000"/>
      <name val="Arial"/>
      <scheme val="minor"/>
    </font>
    <font>
      <sz val="10.0"/>
      <color theme="1"/>
      <name val="Calibri"/>
    </font>
    <font>
      <sz val="10.0"/>
      <color rgb="FF0000FF"/>
      <name val="Arial"/>
    </font>
    <font>
      <sz val="11.0"/>
      <color theme="1"/>
      <name val="Calibri"/>
    </font>
    <font>
      <b/>
      <sz val="11.0"/>
      <color theme="1"/>
      <name val="Calibri"/>
    </font>
    <font>
      <sz val="10.0"/>
      <color rgb="FF000000"/>
      <name val="Arial"/>
    </font>
    <font>
      <sz val="10.0"/>
      <color theme="1"/>
      <name val="Arial"/>
    </font>
    <font>
      <sz val="10.0"/>
      <color rgb="FF000000"/>
      <name val="Calibri"/>
    </font>
    <font>
      <b/>
      <sz val="10.0"/>
      <color rgb="FF000000"/>
      <name val="Arial"/>
    </font>
    <font>
      <b/>
      <sz val="10.0"/>
      <color rgb="FF000000"/>
      <name val="Calibri"/>
    </font>
    <font>
      <b/>
      <sz val="11.0"/>
      <color theme="1"/>
      <name val="Arial"/>
    </font>
    <font>
      <color theme="1"/>
      <name val="Arial"/>
      <scheme val="minor"/>
    </font>
    <font>
      <b/>
      <sz val="11.0"/>
      <color rgb="FF000000"/>
      <name val="Calibri"/>
    </font>
    <font>
      <sz val="11.0"/>
      <color rgb="FF000000"/>
      <name val="Calibri"/>
    </font>
    <font>
      <sz val="11.0"/>
      <color rgb="FF202124"/>
      <name val="Noto Sans Symbols"/>
    </font>
    <font>
      <sz val="11.0"/>
      <color rgb="FF202124"/>
      <name val="Calibri"/>
    </font>
    <font>
      <sz val="4.0"/>
      <color rgb="FF000000"/>
      <name val="Calibri"/>
    </font>
  </fonts>
  <fills count="10">
    <fill>
      <patternFill patternType="none"/>
    </fill>
    <fill>
      <patternFill patternType="lightGray"/>
    </fill>
    <fill>
      <patternFill patternType="solid">
        <fgColor rgb="FFD8D8D8"/>
        <bgColor rgb="FFD8D8D8"/>
      </patternFill>
    </fill>
    <fill>
      <patternFill patternType="solid">
        <fgColor rgb="FFBFBFBF"/>
        <bgColor rgb="FFBFBFBF"/>
      </patternFill>
    </fill>
    <fill>
      <patternFill patternType="solid">
        <fgColor rgb="FFFFFF00"/>
        <bgColor rgb="FFFFFF00"/>
      </patternFill>
    </fill>
    <fill>
      <patternFill patternType="solid">
        <fgColor rgb="FFFFC000"/>
        <bgColor rgb="FFFFC000"/>
      </patternFill>
    </fill>
    <fill>
      <patternFill patternType="solid">
        <fgColor rgb="FFFF0000"/>
        <bgColor rgb="FFFF0000"/>
      </patternFill>
    </fill>
    <fill>
      <patternFill patternType="solid">
        <fgColor rgb="FFFF99FF"/>
        <bgColor rgb="FFFF99FF"/>
      </patternFill>
    </fill>
    <fill>
      <patternFill patternType="solid">
        <fgColor rgb="FFB3CEFA"/>
        <bgColor rgb="FFB3CEFA"/>
      </patternFill>
    </fill>
    <fill>
      <patternFill patternType="solid">
        <fgColor rgb="FFD2F1DA"/>
        <bgColor rgb="FFD2F1DA"/>
      </patternFill>
    </fill>
  </fills>
  <borders count="17">
    <border/>
    <border>
      <left style="thin">
        <color rgb="FF000000"/>
      </left>
      <right style="thin">
        <color rgb="FF000000"/>
      </right>
      <top style="thick">
        <color rgb="FF000000"/>
      </top>
      <bottom style="thin">
        <color rgb="FF000000"/>
      </bottom>
    </border>
    <border>
      <left style="thin">
        <color rgb="FF000000"/>
      </left>
      <right style="thick">
        <color rgb="FF000000"/>
      </right>
      <top style="thick">
        <color rgb="FF000000"/>
      </top>
      <bottom style="thin">
        <color rgb="FF000000"/>
      </bottom>
    </border>
    <border>
      <left style="thick">
        <color rgb="FF000000"/>
      </left>
      <right style="thin">
        <color rgb="FF000000"/>
      </right>
      <top style="thin">
        <color rgb="FF000000"/>
      </top>
      <bottom style="thin">
        <color rgb="FF000000"/>
      </bottom>
    </border>
    <border>
      <left style="thin">
        <color rgb="FF000000"/>
      </left>
      <right style="thin">
        <color rgb="FF000000"/>
      </right>
      <top style="thin">
        <color rgb="FF000000"/>
      </top>
      <bottom style="thin">
        <color rgb="FF000000"/>
      </bottom>
    </border>
    <border>
      <left style="thin">
        <color rgb="FF000000"/>
      </left>
      <right style="thick">
        <color rgb="FF000000"/>
      </right>
      <top style="thin">
        <color rgb="FF000000"/>
      </top>
      <bottom style="thin">
        <color rgb="FF000000"/>
      </bottom>
    </border>
    <border>
      <left style="thick">
        <color rgb="FF000000"/>
      </left>
      <right style="thin">
        <color rgb="FF000000"/>
      </right>
      <top style="thin">
        <color rgb="FF000000"/>
      </top>
      <bottom style="thick">
        <color rgb="FF000000"/>
      </bottom>
    </border>
    <border>
      <left style="thin">
        <color rgb="FF000000"/>
      </left>
      <right style="thin">
        <color rgb="FF000000"/>
      </right>
      <top style="thin">
        <color rgb="FF000000"/>
      </top>
      <bottom style="thick">
        <color rgb="FF000000"/>
      </bottom>
    </border>
    <border>
      <left style="thin">
        <color rgb="FF000000"/>
      </left>
      <right style="thick">
        <color rgb="FF000000"/>
      </right>
      <top style="thin">
        <color rgb="FF000000"/>
      </top>
      <bottom style="thick">
        <color rgb="FF000000"/>
      </bottom>
    </border>
    <border>
      <left/>
      <right/>
      <top/>
      <bottom/>
    </border>
    <border>
      <left style="medium">
        <color rgb="FF000000"/>
      </left>
      <right style="thin">
        <color rgb="FF000000"/>
      </right>
      <top style="medium">
        <color rgb="FF000000"/>
      </top>
      <bottom style="thin">
        <color rgb="FF000000"/>
      </bottom>
    </border>
    <border>
      <left style="thin">
        <color rgb="FF000000"/>
      </left>
      <right style="thin">
        <color rgb="FF000000"/>
      </right>
      <top style="medium">
        <color rgb="FF000000"/>
      </top>
      <bottom style="thin">
        <color rgb="FF000000"/>
      </bottom>
    </border>
    <border>
      <left style="thin">
        <color rgb="FF000000"/>
      </left>
      <right style="medium">
        <color rgb="FF000000"/>
      </right>
      <top style="medium">
        <color rgb="FF000000"/>
      </top>
      <bottom style="thin">
        <color rgb="FF000000"/>
      </bottom>
    </border>
    <border>
      <left style="dotted">
        <color rgb="FF000000"/>
      </left>
      <right style="dotted">
        <color rgb="FF000000"/>
      </right>
      <top style="dotted">
        <color rgb="FF000000"/>
      </top>
      <bottom style="dotted">
        <color rgb="FF000000"/>
      </bottom>
    </border>
    <border>
      <left style="thick">
        <color rgb="FF000000"/>
      </left>
      <right style="thick">
        <color rgb="FF000000"/>
      </right>
      <top style="thick">
        <color rgb="FF000000"/>
      </top>
      <bottom style="thick">
        <color rgb="FF000000"/>
      </bottom>
    </border>
    <border>
      <left style="thick">
        <color rgb="FF000000"/>
      </left>
      <right/>
      <top style="thick">
        <color rgb="FF000000"/>
      </top>
      <bottom style="thick">
        <color rgb="FF000000"/>
      </bottom>
    </border>
    <border>
      <left/>
      <right style="thick">
        <color rgb="FF000000"/>
      </right>
      <top style="thick">
        <color rgb="FF000000"/>
      </top>
      <bottom style="thick">
        <color rgb="FF000000"/>
      </bottom>
    </border>
  </borders>
  <cellStyleXfs count="1">
    <xf borderId="0" fillId="0" fontId="0" numFmtId="0" applyAlignment="1" applyFont="1"/>
  </cellStyleXfs>
  <cellXfs count="70">
    <xf borderId="0" fillId="0" fontId="0" numFmtId="0" xfId="0" applyAlignment="1" applyFont="1">
      <alignment readingOrder="0" shrinkToFit="0" vertical="bottom" wrapText="0"/>
    </xf>
    <xf borderId="1" fillId="2" fontId="1" numFmtId="0" xfId="0" applyAlignment="1" applyBorder="1" applyFill="1" applyFont="1">
      <alignment horizontal="center"/>
    </xf>
    <xf borderId="1" fillId="2" fontId="1" numFmtId="0" xfId="0" applyAlignment="1" applyBorder="1" applyFont="1">
      <alignment horizontal="left"/>
    </xf>
    <xf borderId="1" fillId="3" fontId="2" numFmtId="0" xfId="0" applyAlignment="1" applyBorder="1" applyFill="1" applyFont="1">
      <alignment horizontal="center" shrinkToFit="0" wrapText="1"/>
    </xf>
    <xf borderId="1" fillId="2" fontId="3" numFmtId="0" xfId="0" applyAlignment="1" applyBorder="1" applyFont="1">
      <alignment horizontal="right"/>
    </xf>
    <xf borderId="1" fillId="2" fontId="3" numFmtId="0" xfId="0" applyAlignment="1" applyBorder="1" applyFont="1">
      <alignment horizontal="center"/>
    </xf>
    <xf borderId="1" fillId="2" fontId="3" numFmtId="0" xfId="0" applyBorder="1" applyFont="1"/>
    <xf borderId="2" fillId="2" fontId="4" numFmtId="0" xfId="0" applyAlignment="1" applyBorder="1" applyFont="1">
      <alignment horizontal="center"/>
    </xf>
    <xf borderId="3" fillId="0" fontId="5" numFmtId="0" xfId="0" applyAlignment="1" applyBorder="1" applyFont="1">
      <alignment horizontal="center"/>
    </xf>
    <xf borderId="4" fillId="0" fontId="6" numFmtId="164" xfId="0" applyBorder="1" applyFont="1" applyNumberFormat="1"/>
    <xf borderId="4" fillId="0" fontId="6" numFmtId="0" xfId="0" applyBorder="1" applyFont="1"/>
    <xf borderId="4" fillId="0" fontId="6" numFmtId="0" xfId="0" applyAlignment="1" applyBorder="1" applyFont="1">
      <alignment horizontal="center"/>
    </xf>
    <xf borderId="4" fillId="0" fontId="3" numFmtId="0" xfId="0" applyAlignment="1" applyBorder="1" applyFont="1">
      <alignment horizontal="center"/>
    </xf>
    <xf borderId="4" fillId="0" fontId="3" numFmtId="165" xfId="0" applyBorder="1" applyFont="1" applyNumberFormat="1"/>
    <xf borderId="4" fillId="0" fontId="3" numFmtId="166" xfId="0" applyBorder="1" applyFont="1" applyNumberFormat="1"/>
    <xf borderId="4" fillId="0" fontId="7" numFmtId="0" xfId="0" applyBorder="1" applyFont="1"/>
    <xf borderId="5" fillId="0" fontId="8" numFmtId="0" xfId="0" applyAlignment="1" applyBorder="1" applyFont="1">
      <alignment horizontal="center"/>
    </xf>
    <xf borderId="4" fillId="4" fontId="6" numFmtId="0" xfId="0" applyBorder="1" applyFill="1" applyFont="1"/>
    <xf borderId="4" fillId="0" fontId="5" numFmtId="0" xfId="0" applyBorder="1" applyFont="1"/>
    <xf borderId="4" fillId="4" fontId="6" numFmtId="0" xfId="0" applyAlignment="1" applyBorder="1" applyFont="1">
      <alignment horizontal="center"/>
    </xf>
    <xf borderId="4" fillId="5" fontId="6" numFmtId="0" xfId="0" applyBorder="1" applyFill="1" applyFont="1"/>
    <xf borderId="4" fillId="6" fontId="6" numFmtId="0" xfId="0" applyBorder="1" applyFill="1" applyFont="1"/>
    <xf borderId="4" fillId="6" fontId="5" numFmtId="0" xfId="0" applyBorder="1" applyFont="1"/>
    <xf borderId="6" fillId="0" fontId="5" numFmtId="0" xfId="0" applyAlignment="1" applyBorder="1" applyFont="1">
      <alignment horizontal="center"/>
    </xf>
    <xf borderId="7" fillId="0" fontId="6" numFmtId="164" xfId="0" applyBorder="1" applyFont="1" applyNumberFormat="1"/>
    <xf borderId="7" fillId="0" fontId="6" numFmtId="0" xfId="0" applyBorder="1" applyFont="1"/>
    <xf borderId="7" fillId="7" fontId="6" numFmtId="0" xfId="0" applyAlignment="1" applyBorder="1" applyFill="1" applyFont="1">
      <alignment horizontal="center"/>
    </xf>
    <xf borderId="7" fillId="0" fontId="6" numFmtId="0" xfId="0" applyAlignment="1" applyBorder="1" applyFont="1">
      <alignment horizontal="center"/>
    </xf>
    <xf borderId="7" fillId="0" fontId="3" numFmtId="0" xfId="0" applyAlignment="1" applyBorder="1" applyFont="1">
      <alignment horizontal="center"/>
    </xf>
    <xf borderId="7" fillId="0" fontId="3" numFmtId="165" xfId="0" applyBorder="1" applyFont="1" applyNumberFormat="1"/>
    <xf borderId="7" fillId="0" fontId="5" numFmtId="0" xfId="0" applyBorder="1" applyFont="1"/>
    <xf borderId="7" fillId="0" fontId="3" numFmtId="166" xfId="0" applyBorder="1" applyFont="1" applyNumberFormat="1"/>
    <xf borderId="7" fillId="0" fontId="7" numFmtId="0" xfId="0" applyBorder="1" applyFont="1"/>
    <xf borderId="7" fillId="6" fontId="6" numFmtId="0" xfId="0" applyBorder="1" applyFont="1"/>
    <xf borderId="8" fillId="0" fontId="8" numFmtId="0" xfId="0" applyAlignment="1" applyBorder="1" applyFont="1">
      <alignment horizontal="center"/>
    </xf>
    <xf borderId="0" fillId="0" fontId="9" numFmtId="0" xfId="0" applyFont="1"/>
    <xf borderId="0" fillId="0" fontId="7" numFmtId="0" xfId="0" applyFont="1"/>
    <xf borderId="9" fillId="4" fontId="7" numFmtId="0" xfId="0" applyBorder="1" applyFont="1"/>
    <xf borderId="9" fillId="4" fontId="3" numFmtId="0" xfId="0" applyBorder="1" applyFont="1"/>
    <xf borderId="9" fillId="5" fontId="7" numFmtId="0" xfId="0" applyBorder="1" applyFont="1"/>
    <xf borderId="9" fillId="5" fontId="3" numFmtId="0" xfId="0" applyBorder="1" applyFont="1"/>
    <xf borderId="9" fillId="6" fontId="7" numFmtId="0" xfId="0" applyBorder="1" applyFont="1"/>
    <xf borderId="9" fillId="6" fontId="3" numFmtId="0" xfId="0" applyBorder="1" applyFont="1"/>
    <xf borderId="9" fillId="8" fontId="7" numFmtId="0" xfId="0" applyBorder="1" applyFill="1" applyFont="1"/>
    <xf borderId="9" fillId="7" fontId="5" numFmtId="0" xfId="0" applyBorder="1" applyFont="1"/>
    <xf borderId="0" fillId="0" fontId="10" numFmtId="0" xfId="0" applyFont="1"/>
    <xf borderId="0" fillId="0" fontId="11" numFmtId="0" xfId="0" applyFont="1"/>
    <xf borderId="10" fillId="0" fontId="5" numFmtId="0" xfId="0" applyAlignment="1" applyBorder="1" applyFont="1">
      <alignment horizontal="center"/>
    </xf>
    <xf borderId="11" fillId="0" fontId="5" numFmtId="0" xfId="0" applyAlignment="1" applyBorder="1" applyFont="1">
      <alignment horizontal="center"/>
    </xf>
    <xf borderId="12" fillId="0" fontId="5" numFmtId="0" xfId="0" applyAlignment="1" applyBorder="1" applyFont="1">
      <alignment horizontal="center"/>
    </xf>
    <xf borderId="13" fillId="0" fontId="6" numFmtId="0" xfId="0" applyAlignment="1" applyBorder="1" applyFont="1">
      <alignment horizontal="center"/>
    </xf>
    <xf borderId="0" fillId="0" fontId="12" numFmtId="0" xfId="0" applyAlignment="1" applyFont="1">
      <alignment horizontal="left" vertical="center"/>
    </xf>
    <xf borderId="0" fillId="0" fontId="13" numFmtId="0" xfId="0" applyAlignment="1" applyFont="1">
      <alignment horizontal="left" vertical="center"/>
    </xf>
    <xf borderId="9" fillId="4" fontId="14" numFmtId="0" xfId="0" applyAlignment="1" applyBorder="1" applyFont="1">
      <alignment horizontal="left" vertical="center"/>
    </xf>
    <xf borderId="9" fillId="4" fontId="5" numFmtId="0" xfId="0" applyBorder="1" applyFont="1"/>
    <xf borderId="0" fillId="0" fontId="14" numFmtId="0" xfId="0" applyAlignment="1" applyFont="1">
      <alignment horizontal="left" vertical="center"/>
    </xf>
    <xf borderId="0" fillId="0" fontId="15" numFmtId="0" xfId="0" applyAlignment="1" applyFont="1">
      <alignment horizontal="left" vertical="center"/>
    </xf>
    <xf borderId="0" fillId="0" fontId="12" numFmtId="0" xfId="0" applyAlignment="1" applyFont="1">
      <alignment vertical="center"/>
    </xf>
    <xf borderId="0" fillId="0" fontId="12" numFmtId="0" xfId="0" applyAlignment="1" applyFont="1">
      <alignment horizontal="left" shrinkToFit="0" vertical="center" wrapText="1"/>
    </xf>
    <xf borderId="0" fillId="0" fontId="5" numFmtId="0" xfId="0" applyAlignment="1" applyFont="1">
      <alignment horizontal="center"/>
    </xf>
    <xf borderId="14" fillId="4" fontId="8" numFmtId="165" xfId="0" applyBorder="1" applyFont="1" applyNumberFormat="1"/>
    <xf borderId="0" fillId="0" fontId="13" numFmtId="0" xfId="0" applyAlignment="1" applyFont="1">
      <alignment vertical="center"/>
    </xf>
    <xf borderId="0" fillId="0" fontId="5" numFmtId="0" xfId="0" applyFont="1"/>
    <xf borderId="0" fillId="0" fontId="5" numFmtId="0" xfId="0" applyAlignment="1" applyFont="1">
      <alignment horizontal="right"/>
    </xf>
    <xf borderId="0" fillId="0" fontId="7" numFmtId="0" xfId="0" applyAlignment="1" applyFont="1">
      <alignment vertical="center"/>
    </xf>
    <xf borderId="9" fillId="9" fontId="8" numFmtId="166" xfId="0" applyBorder="1" applyFill="1" applyFont="1" applyNumberFormat="1"/>
    <xf borderId="15" fillId="4" fontId="8" numFmtId="166" xfId="0" applyBorder="1" applyFont="1" applyNumberFormat="1"/>
    <xf borderId="16" fillId="4" fontId="8" numFmtId="165" xfId="0" applyBorder="1" applyFont="1" applyNumberFormat="1"/>
    <xf borderId="0" fillId="0" fontId="16" numFmtId="0" xfId="0" applyAlignment="1" applyFont="1">
      <alignment vertical="center"/>
    </xf>
    <xf borderId="15" fillId="4" fontId="8" numFmtId="165" xfId="0" applyBorder="1" applyFont="1" applyNumberFormat="1"/>
  </cellXfs>
  <cellStyles count="1">
    <cellStyle xfId="0" name="Normal" builtinId="0"/>
  </cellStyles>
  <dxfs count="3">
    <dxf>
      <font>
        <color theme="1"/>
      </font>
      <fill>
        <patternFill patternType="solid">
          <fgColor rgb="FFBFBFBF"/>
          <bgColor rgb="FFBFBFBF"/>
        </patternFill>
      </fill>
      <border/>
    </dxf>
    <dxf>
      <font>
        <color rgb="FF9C0006"/>
      </font>
      <fill>
        <patternFill patternType="solid">
          <fgColor rgb="FFFFC7CE"/>
          <bgColor rgb="FFFFC7CE"/>
        </patternFill>
      </fill>
      <border/>
    </dxf>
    <dxf>
      <font>
        <color rgb="FF006100"/>
      </font>
      <fill>
        <patternFill patternType="solid">
          <fgColor rgb="FFC6EFCE"/>
          <bgColor rgb="FFC6EFCE"/>
        </patternFill>
      </fill>
      <border/>
    </dxf>
  </dxfs>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 Id="rId2" Type="http://schemas.openxmlformats.org/officeDocument/2006/relationships/image" Target="../media/image3.png"/><Relationship Id="rId3"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2</xdr:col>
      <xdr:colOff>809625</xdr:colOff>
      <xdr:row>29</xdr:row>
      <xdr:rowOff>85725</xdr:rowOff>
    </xdr:from>
    <xdr:ext cx="1885950" cy="695325"/>
    <xdr:pic>
      <xdr:nvPicPr>
        <xdr:cNvPr id="0" name="image1.png" title="Image"/>
        <xdr:cNvPicPr preferRelativeResize="0"/>
      </xdr:nvPicPr>
      <xdr:blipFill>
        <a:blip cstate="print" r:embed="rId1"/>
        <a:stretch>
          <a:fillRect/>
        </a:stretch>
      </xdr:blipFill>
      <xdr:spPr>
        <a:prstGeom prst="rect">
          <a:avLst/>
        </a:prstGeom>
        <a:noFill/>
      </xdr:spPr>
    </xdr:pic>
    <xdr:clientData fLocksWithSheet="0"/>
  </xdr:oneCellAnchor>
  <xdr:oneCellAnchor>
    <xdr:from>
      <xdr:col>0</xdr:col>
      <xdr:colOff>0</xdr:colOff>
      <xdr:row>53</xdr:row>
      <xdr:rowOff>0</xdr:rowOff>
    </xdr:from>
    <xdr:ext cx="4914900" cy="390525"/>
    <xdr:pic>
      <xdr:nvPicPr>
        <xdr:cNvPr id="0" name="image3.png"/>
        <xdr:cNvPicPr preferRelativeResize="0"/>
      </xdr:nvPicPr>
      <xdr:blipFill>
        <a:blip cstate="print" r:embed="rId2"/>
        <a:stretch>
          <a:fillRect/>
        </a:stretch>
      </xdr:blipFill>
      <xdr:spPr>
        <a:prstGeom prst="rect">
          <a:avLst/>
        </a:prstGeom>
        <a:noFill/>
      </xdr:spPr>
    </xdr:pic>
    <xdr:clientData fLocksWithSheet="0"/>
  </xdr:oneCellAnchor>
  <xdr:oneCellAnchor>
    <xdr:from>
      <xdr:col>3</xdr:col>
      <xdr:colOff>9525</xdr:colOff>
      <xdr:row>25</xdr:row>
      <xdr:rowOff>57150</xdr:rowOff>
    </xdr:from>
    <xdr:ext cx="1400175" cy="371475"/>
    <xdr:pic>
      <xdr:nvPicPr>
        <xdr:cNvPr id="0" name="image2.png"/>
        <xdr:cNvPicPr preferRelativeResize="0"/>
      </xdr:nvPicPr>
      <xdr:blipFill>
        <a:blip cstate="print" r:embed="rId3"/>
        <a:stretch>
          <a:fillRect/>
        </a:stretch>
      </xdr:blipFill>
      <xdr:spPr>
        <a:prstGeom prst="rect">
          <a:avLst/>
        </a:prstGeom>
        <a:noFill/>
      </xdr:spPr>
    </xdr:pic>
    <xdr:clientData fLocksWithSheet="0"/>
  </xdr:oneCellAnchor>
</xdr:wsD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sheetPr>
  <sheetViews>
    <sheetView workbookViewId="0">
      <pane xSplit="4.0" ySplit="1.0" topLeftCell="E2" activePane="bottomRight" state="frozen"/>
      <selection activeCell="E1" sqref="E1" pane="topRight"/>
      <selection activeCell="A2" sqref="A2" pane="bottomLeft"/>
      <selection activeCell="E2" sqref="E2" pane="bottomRight"/>
    </sheetView>
  </sheetViews>
  <sheetFormatPr customHeight="1" defaultColWidth="12.63" defaultRowHeight="15.0"/>
  <cols>
    <col customWidth="1" min="1" max="1" width="6.25"/>
    <col customWidth="1" min="2" max="2" width="18.88"/>
    <col customWidth="1" min="3" max="3" width="29.75"/>
    <col customWidth="1" min="4" max="4" width="18.88"/>
    <col customWidth="1" min="5" max="5" width="10.13"/>
    <col customWidth="1" min="6" max="11" width="3.13"/>
    <col customWidth="1" min="12" max="12" width="6.88"/>
    <col customWidth="1" min="13" max="13" width="18.88"/>
    <col customWidth="1" min="14" max="20" width="2.75"/>
    <col customWidth="1" min="21" max="21" width="18.88"/>
    <col customWidth="1" min="22" max="27" width="2.75"/>
    <col customWidth="1" min="28" max="28" width="18.88"/>
    <col customWidth="1" min="29" max="29" width="8.75"/>
    <col customWidth="1" min="30" max="30" width="6.13"/>
    <col customWidth="1" min="31" max="31" width="18.88"/>
    <col customWidth="1" min="32" max="32" width="9.0"/>
    <col customWidth="1" min="33" max="33" width="6.63"/>
    <col customWidth="1" min="34" max="34" width="18.88"/>
    <col customWidth="1" min="35" max="35" width="8.63"/>
    <col customWidth="1" min="36" max="36" width="6.13"/>
    <col customWidth="1" min="37" max="37" width="18.88"/>
    <col customWidth="1" min="38" max="38" width="8.63"/>
    <col customWidth="1" min="39" max="40" width="6.63"/>
    <col customWidth="1" min="41" max="41" width="18.88"/>
    <col customWidth="1" min="42" max="42" width="8.25"/>
    <col customWidth="1" min="43" max="43" width="7.13"/>
    <col customWidth="1" min="44" max="44" width="6.13"/>
    <col customWidth="1" min="45" max="45" width="10.25"/>
  </cols>
  <sheetData>
    <row r="1" ht="15.75" customHeight="1">
      <c r="A1" s="1" t="s">
        <v>0</v>
      </c>
      <c r="B1" s="1" t="s">
        <v>1</v>
      </c>
      <c r="C1" s="2" t="s">
        <v>2</v>
      </c>
      <c r="D1" s="2" t="s">
        <v>3</v>
      </c>
      <c r="E1" s="1" t="s">
        <v>4</v>
      </c>
      <c r="F1" s="3" t="s">
        <v>5</v>
      </c>
      <c r="G1" s="3" t="s">
        <v>6</v>
      </c>
      <c r="H1" s="3" t="s">
        <v>7</v>
      </c>
      <c r="I1" s="3" t="s">
        <v>8</v>
      </c>
      <c r="J1" s="3" t="s">
        <v>9</v>
      </c>
      <c r="K1" s="3" t="s">
        <v>10</v>
      </c>
      <c r="L1" s="1" t="s">
        <v>11</v>
      </c>
      <c r="M1" s="2" t="s">
        <v>12</v>
      </c>
      <c r="N1" s="1">
        <v>1.0</v>
      </c>
      <c r="O1" s="1">
        <v>1.0</v>
      </c>
      <c r="P1" s="1">
        <v>1.0</v>
      </c>
      <c r="Q1" s="1">
        <v>1.0</v>
      </c>
      <c r="R1" s="1">
        <v>-1.0</v>
      </c>
      <c r="S1" s="1">
        <v>1.0</v>
      </c>
      <c r="T1" s="1">
        <v>-1.0</v>
      </c>
      <c r="U1" s="2" t="s">
        <v>13</v>
      </c>
      <c r="V1" s="1">
        <v>1.0</v>
      </c>
      <c r="W1" s="1">
        <v>1.0</v>
      </c>
      <c r="X1" s="1">
        <v>1.0</v>
      </c>
      <c r="Y1" s="1">
        <v>1.0</v>
      </c>
      <c r="Z1" s="1">
        <v>-1.0</v>
      </c>
      <c r="AA1" s="1">
        <v>1.0</v>
      </c>
      <c r="AB1" s="2" t="s">
        <v>14</v>
      </c>
      <c r="AC1" s="4" t="s">
        <v>15</v>
      </c>
      <c r="AD1" s="5" t="s">
        <v>16</v>
      </c>
      <c r="AE1" s="2" t="s">
        <v>17</v>
      </c>
      <c r="AF1" s="4" t="s">
        <v>15</v>
      </c>
      <c r="AG1" s="5" t="s">
        <v>16</v>
      </c>
      <c r="AH1" s="2" t="s">
        <v>18</v>
      </c>
      <c r="AI1" s="4" t="s">
        <v>15</v>
      </c>
      <c r="AJ1" s="5" t="s">
        <v>16</v>
      </c>
      <c r="AK1" s="2" t="s">
        <v>19</v>
      </c>
      <c r="AL1" s="4" t="s">
        <v>15</v>
      </c>
      <c r="AM1" s="6" t="s">
        <v>20</v>
      </c>
      <c r="AN1" s="5" t="s">
        <v>16</v>
      </c>
      <c r="AO1" s="2" t="s">
        <v>21</v>
      </c>
      <c r="AP1" s="4" t="s">
        <v>15</v>
      </c>
      <c r="AQ1" s="6" t="s">
        <v>20</v>
      </c>
      <c r="AR1" s="5" t="s">
        <v>16</v>
      </c>
      <c r="AS1" s="7" t="s">
        <v>22</v>
      </c>
    </row>
    <row r="2" ht="15.75" customHeight="1">
      <c r="A2" s="8">
        <v>1.0</v>
      </c>
      <c r="B2" s="9">
        <v>45257.65929703704</v>
      </c>
      <c r="C2" s="10" t="s">
        <v>23</v>
      </c>
      <c r="D2" s="10" t="s">
        <v>24</v>
      </c>
      <c r="E2" s="11">
        <v>365865.0</v>
      </c>
      <c r="F2" s="11">
        <f t="shared" ref="F2:F6" si="1">INT(E2/100000)</f>
        <v>3</v>
      </c>
      <c r="G2" s="11">
        <f t="shared" ref="G2:G6" si="2">INT(($E2-100000*F2)/10000)</f>
        <v>6</v>
      </c>
      <c r="H2" s="11">
        <f t="shared" ref="H2:H6" si="3">INT(($E2-100000*F2-10000*G2)/1000)</f>
        <v>5</v>
      </c>
      <c r="I2" s="11">
        <f t="shared" ref="I2:I6" si="4">INT(($E2-100000*$F2-10000*$G2-1000*$H2)/100)</f>
        <v>8</v>
      </c>
      <c r="J2" s="11">
        <f t="shared" ref="J2:J6" si="5">INT(($E2-100000*$F2-10000*$G2-1000*$H2-100*$I2)/10)</f>
        <v>6</v>
      </c>
      <c r="K2" s="11">
        <f t="shared" ref="K2:K6" si="6">INT(($E2-100000*$F2-10000*$G2-1000*$H2-100*$I2-10*$J2))</f>
        <v>5</v>
      </c>
      <c r="L2" s="12">
        <v>1.0</v>
      </c>
      <c r="M2" s="10" t="s">
        <v>25</v>
      </c>
      <c r="N2" s="12">
        <f t="shared" ref="N2:N15" si="7">IF(ISERROR(FIND("ISO354",M2,1)),0,N$1)</f>
        <v>0</v>
      </c>
      <c r="O2" s="12">
        <f t="shared" ref="O2:O15" si="8">IF(ISERROR(FIND("standing wave tube",M2,1)),0,O$1)</f>
        <v>1</v>
      </c>
      <c r="P2" s="12">
        <f t="shared" ref="P2:P15" si="9">IF(ISERROR(FIND("EN 1793-5",M2,1)),0,P$1)</f>
        <v>0</v>
      </c>
      <c r="Q2" s="12">
        <f t="shared" ref="Q2:Q15" si="10">IF(ISERROR(FIND("sound intensity method",M2,1)),0,Q$1)</f>
        <v>1</v>
      </c>
      <c r="R2" s="12">
        <f t="shared" ref="R2:R15" si="11">IF(ISERROR(FIND("Sabine formula",M2,1)),0,R$1)</f>
        <v>0</v>
      </c>
      <c r="S2" s="12">
        <f t="shared" ref="S2:S15" si="12">IF(ISERROR(FIND("computer programs",M2,1)),0,S$1)</f>
        <v>1</v>
      </c>
      <c r="T2" s="12">
        <f t="shared" ref="T2:T15" si="13">IF(ISERROR(FIND("scattering coefficient",M2,1)),0,T$1)</f>
        <v>0</v>
      </c>
      <c r="U2" s="10" t="s">
        <v>26</v>
      </c>
      <c r="V2" s="12">
        <f t="shared" ref="V2:V15" si="14">IF(ISERROR(FIND("absolute immission limits",U2,1)),0,V$1)</f>
        <v>1</v>
      </c>
      <c r="W2" s="12">
        <f t="shared" ref="W2:W15" si="15">IF(ISERROR(FIND("differential immission limits",U2,1)),0,W$1)</f>
        <v>1</v>
      </c>
      <c r="X2" s="12">
        <f t="shared" ref="X2:X15" si="16">IF(ISERROR(FIND("tonal components",U2,1)),0,X$1)</f>
        <v>1</v>
      </c>
      <c r="Y2" s="12">
        <f t="shared" ref="Y2:Y15" si="17">IF(ISERROR(FIND("impulsive components",U2,1)),0,Y$1)</f>
        <v>1</v>
      </c>
      <c r="Z2" s="12">
        <f t="shared" ref="Z2:Z15" si="18">IF(ISERROR(FIND("Lden",U2,1)),0,Z$1)</f>
        <v>0</v>
      </c>
      <c r="AA2" s="12">
        <f t="shared" ref="AA2:AA15" si="19">IF(ISERROR(FIND("Lnight",U2,1)),0,AA$1)</f>
        <v>0</v>
      </c>
      <c r="AB2" s="10">
        <v>0.6167</v>
      </c>
      <c r="AC2" s="13">
        <f t="shared" ref="AC2:AC15" si="20">1-((3+K2/4-1)/(3+K2/4+1))^2</f>
        <v>0.6167800454</v>
      </c>
      <c r="AD2" s="12">
        <f t="shared" ref="AD2:AD6" si="21">IF(AB2="",0,IF(ABS(AB2-AC2)&lt;=0.1,1,-1))</f>
        <v>1</v>
      </c>
      <c r="AE2" s="10">
        <v>0.6206</v>
      </c>
      <c r="AF2" s="13">
        <f t="shared" ref="AF2:AF15" si="22">1-(1-0.2-K2/20)/(1+0.2+K2/20)</f>
        <v>0.6206896552</v>
      </c>
      <c r="AG2" s="12">
        <f t="shared" ref="AG2:AG6" si="23">IF(AE2="",0,IF(ABS(AE2-AF2)&lt;=0.1,1,-1))</f>
        <v>1</v>
      </c>
      <c r="AH2" s="10">
        <v>0.35</v>
      </c>
      <c r="AI2" s="13">
        <f t="shared" ref="AI2:AI15" si="24">1/10^((3+J2/4)/10)</f>
        <v>0.3548133892</v>
      </c>
      <c r="AJ2" s="12">
        <f t="shared" ref="AJ2:AJ6" si="25">IF(AH2="",0,IF(ABS(AH2-AI2)&lt;=0.1,1,-1))</f>
        <v>1</v>
      </c>
      <c r="AK2" s="10" t="s">
        <v>27</v>
      </c>
      <c r="AL2" s="14">
        <v>21.5</v>
      </c>
      <c r="AM2" s="15" t="s">
        <v>28</v>
      </c>
      <c r="AN2" s="12">
        <f t="shared" ref="AN2:AN6" si="26">IF(AK2="",0,IF(EXACT(RIGHT(AK2,5),AM2),IF(ABS(VALUE(LEFT(AK2,FIND(" ",AK2,1)))-AL2)&lt;=0.5,1,-1),-1))</f>
        <v>-1</v>
      </c>
      <c r="AO2" s="10" t="s">
        <v>29</v>
      </c>
      <c r="AP2" s="14">
        <f t="shared" ref="AP2:AP15" si="27">10*LOG10((2*10^((80+H2/2)/10)+1*10^((75+I2/2)/10)+3*10^((70+J2)/10)+4*10^((73+K2)/10))/10)+10*LOG10(10*3600)</f>
        <v>124.6312426</v>
      </c>
      <c r="AQ2" s="15" t="s">
        <v>28</v>
      </c>
      <c r="AR2" s="12">
        <f>IF(AO2="",0,IF(EXACT(RIGHT(AO2,5),AQ2),IF(ABS(VALUE(LEFT(AO2,FIND(" ",AO2,1)))-AP2)&lt;=0.5,1,-1),-1))</f>
        <v>1</v>
      </c>
      <c r="AS2" s="16">
        <f t="shared" ref="AS2:AS15" si="28">L2+SUM(N2:T2)+SUM(V2:AA2)+AD2+AG2+AJ2+AN2+AR2</f>
        <v>11</v>
      </c>
    </row>
    <row r="3" ht="15.75" customHeight="1">
      <c r="A3" s="8">
        <v>2.0</v>
      </c>
      <c r="B3" s="9">
        <v>45257.65989946759</v>
      </c>
      <c r="C3" s="10" t="s">
        <v>30</v>
      </c>
      <c r="D3" s="10" t="s">
        <v>31</v>
      </c>
      <c r="E3" s="11">
        <v>365868.0</v>
      </c>
      <c r="F3" s="11">
        <f t="shared" si="1"/>
        <v>3</v>
      </c>
      <c r="G3" s="11">
        <f t="shared" si="2"/>
        <v>6</v>
      </c>
      <c r="H3" s="11">
        <f t="shared" si="3"/>
        <v>5</v>
      </c>
      <c r="I3" s="11">
        <f t="shared" si="4"/>
        <v>8</v>
      </c>
      <c r="J3" s="11">
        <f t="shared" si="5"/>
        <v>6</v>
      </c>
      <c r="K3" s="11">
        <f t="shared" si="6"/>
        <v>8</v>
      </c>
      <c r="L3" s="12">
        <v>1.0</v>
      </c>
      <c r="M3" s="10" t="s">
        <v>25</v>
      </c>
      <c r="N3" s="12">
        <f t="shared" si="7"/>
        <v>0</v>
      </c>
      <c r="O3" s="12">
        <f t="shared" si="8"/>
        <v>1</v>
      </c>
      <c r="P3" s="12">
        <f t="shared" si="9"/>
        <v>0</v>
      </c>
      <c r="Q3" s="12">
        <f t="shared" si="10"/>
        <v>1</v>
      </c>
      <c r="R3" s="12">
        <f t="shared" si="11"/>
        <v>0</v>
      </c>
      <c r="S3" s="12">
        <f t="shared" si="12"/>
        <v>1</v>
      </c>
      <c r="T3" s="12">
        <f t="shared" si="13"/>
        <v>0</v>
      </c>
      <c r="U3" s="10" t="s">
        <v>32</v>
      </c>
      <c r="V3" s="12">
        <f t="shared" si="14"/>
        <v>0</v>
      </c>
      <c r="W3" s="12">
        <f t="shared" si="15"/>
        <v>0</v>
      </c>
      <c r="X3" s="12">
        <f t="shared" si="16"/>
        <v>1</v>
      </c>
      <c r="Y3" s="12">
        <f t="shared" si="17"/>
        <v>0</v>
      </c>
      <c r="Z3" s="12">
        <f t="shared" si="18"/>
        <v>0</v>
      </c>
      <c r="AA3" s="12">
        <f t="shared" si="19"/>
        <v>0</v>
      </c>
      <c r="AB3" s="10">
        <v>0.556</v>
      </c>
      <c r="AC3" s="13">
        <f t="shared" si="20"/>
        <v>0.5555555556</v>
      </c>
      <c r="AD3" s="12">
        <f t="shared" si="21"/>
        <v>1</v>
      </c>
      <c r="AE3" s="10">
        <v>0.75</v>
      </c>
      <c r="AF3" s="13">
        <f t="shared" si="22"/>
        <v>0.75</v>
      </c>
      <c r="AG3" s="12">
        <f t="shared" si="23"/>
        <v>1</v>
      </c>
      <c r="AH3" s="10">
        <v>3.162277E-5</v>
      </c>
      <c r="AI3" s="13">
        <f t="shared" si="24"/>
        <v>0.3548133892</v>
      </c>
      <c r="AJ3" s="12">
        <f t="shared" si="25"/>
        <v>-1</v>
      </c>
      <c r="AK3" s="10" t="s">
        <v>33</v>
      </c>
      <c r="AL3" s="14">
        <v>22.6</v>
      </c>
      <c r="AM3" s="15" t="s">
        <v>28</v>
      </c>
      <c r="AN3" s="12">
        <f t="shared" si="26"/>
        <v>-1</v>
      </c>
      <c r="AO3" s="17" t="s">
        <v>34</v>
      </c>
      <c r="AP3" s="14">
        <f t="shared" si="27"/>
        <v>125.8082553</v>
      </c>
      <c r="AQ3" s="15" t="s">
        <v>28</v>
      </c>
      <c r="AR3" s="12">
        <v>1.0</v>
      </c>
      <c r="AS3" s="16">
        <f t="shared" si="28"/>
        <v>6</v>
      </c>
    </row>
    <row r="4" ht="15.75" customHeight="1">
      <c r="A4" s="8">
        <v>3.0</v>
      </c>
      <c r="B4" s="9">
        <v>45257.66382068287</v>
      </c>
      <c r="C4" s="10" t="s">
        <v>35</v>
      </c>
      <c r="D4" s="10" t="s">
        <v>36</v>
      </c>
      <c r="E4" s="11">
        <v>364663.0</v>
      </c>
      <c r="F4" s="11">
        <f t="shared" si="1"/>
        <v>3</v>
      </c>
      <c r="G4" s="11">
        <f t="shared" si="2"/>
        <v>6</v>
      </c>
      <c r="H4" s="11">
        <f t="shared" si="3"/>
        <v>4</v>
      </c>
      <c r="I4" s="11">
        <f t="shared" si="4"/>
        <v>6</v>
      </c>
      <c r="J4" s="11">
        <f t="shared" si="5"/>
        <v>6</v>
      </c>
      <c r="K4" s="11">
        <f t="shared" si="6"/>
        <v>3</v>
      </c>
      <c r="L4" s="12">
        <v>1.0</v>
      </c>
      <c r="M4" s="10" t="s">
        <v>37</v>
      </c>
      <c r="N4" s="12">
        <f t="shared" si="7"/>
        <v>1</v>
      </c>
      <c r="O4" s="12">
        <f t="shared" si="8"/>
        <v>0</v>
      </c>
      <c r="P4" s="12">
        <f t="shared" si="9"/>
        <v>0</v>
      </c>
      <c r="Q4" s="12">
        <f t="shared" si="10"/>
        <v>1</v>
      </c>
      <c r="R4" s="12">
        <f t="shared" si="11"/>
        <v>0</v>
      </c>
      <c r="S4" s="12">
        <f t="shared" si="12"/>
        <v>1</v>
      </c>
      <c r="T4" s="12">
        <f t="shared" si="13"/>
        <v>-1</v>
      </c>
      <c r="U4" s="10" t="s">
        <v>38</v>
      </c>
      <c r="V4" s="12">
        <f t="shared" si="14"/>
        <v>1</v>
      </c>
      <c r="W4" s="12">
        <f t="shared" si="15"/>
        <v>0</v>
      </c>
      <c r="X4" s="12">
        <f t="shared" si="16"/>
        <v>0</v>
      </c>
      <c r="Y4" s="12">
        <f t="shared" si="17"/>
        <v>1</v>
      </c>
      <c r="Z4" s="12">
        <f t="shared" si="18"/>
        <v>-1</v>
      </c>
      <c r="AA4" s="12">
        <f t="shared" si="19"/>
        <v>0</v>
      </c>
      <c r="AB4" s="10">
        <v>0.66</v>
      </c>
      <c r="AC4" s="13">
        <f t="shared" si="20"/>
        <v>0.6648199446</v>
      </c>
      <c r="AD4" s="12">
        <f t="shared" si="21"/>
        <v>1</v>
      </c>
      <c r="AE4" s="10">
        <v>0.65</v>
      </c>
      <c r="AF4" s="13">
        <f t="shared" si="22"/>
        <v>0.5185185185</v>
      </c>
      <c r="AG4" s="12">
        <f t="shared" si="23"/>
        <v>-1</v>
      </c>
      <c r="AH4" s="18"/>
      <c r="AI4" s="13">
        <f t="shared" si="24"/>
        <v>0.3548133892</v>
      </c>
      <c r="AJ4" s="12">
        <f t="shared" si="25"/>
        <v>0</v>
      </c>
      <c r="AK4" s="18"/>
      <c r="AL4" s="14">
        <v>20.6</v>
      </c>
      <c r="AM4" s="15" t="s">
        <v>28</v>
      </c>
      <c r="AN4" s="12">
        <f t="shared" si="26"/>
        <v>0</v>
      </c>
      <c r="AO4" s="10" t="s">
        <v>39</v>
      </c>
      <c r="AP4" s="14">
        <f t="shared" si="27"/>
        <v>123.7502273</v>
      </c>
      <c r="AQ4" s="15" t="s">
        <v>28</v>
      </c>
      <c r="AR4" s="12">
        <f t="shared" ref="AR4:AR8" si="29">IF(AO4="",0,IF(EXACT(RIGHT(AO4,5),AQ4),IF(ABS(VALUE(LEFT(AO4,FIND(" ",AO4,1)))-AP4)&lt;=0.5,1,-1),-1))</f>
        <v>-1</v>
      </c>
      <c r="AS4" s="16">
        <f t="shared" si="28"/>
        <v>3</v>
      </c>
    </row>
    <row r="5" ht="15.75" customHeight="1">
      <c r="A5" s="8">
        <v>4.0</v>
      </c>
      <c r="B5" s="9">
        <v>45257.6650943287</v>
      </c>
      <c r="C5" s="10" t="s">
        <v>40</v>
      </c>
      <c r="D5" s="10" t="s">
        <v>41</v>
      </c>
      <c r="E5" s="11">
        <v>366043.0</v>
      </c>
      <c r="F5" s="11">
        <f t="shared" si="1"/>
        <v>3</v>
      </c>
      <c r="G5" s="11">
        <f t="shared" si="2"/>
        <v>6</v>
      </c>
      <c r="H5" s="11">
        <f t="shared" si="3"/>
        <v>6</v>
      </c>
      <c r="I5" s="11">
        <f t="shared" si="4"/>
        <v>0</v>
      </c>
      <c r="J5" s="11">
        <f t="shared" si="5"/>
        <v>4</v>
      </c>
      <c r="K5" s="11">
        <f t="shared" si="6"/>
        <v>3</v>
      </c>
      <c r="L5" s="12">
        <v>1.0</v>
      </c>
      <c r="M5" s="10" t="s">
        <v>25</v>
      </c>
      <c r="N5" s="12">
        <f t="shared" si="7"/>
        <v>0</v>
      </c>
      <c r="O5" s="12">
        <f t="shared" si="8"/>
        <v>1</v>
      </c>
      <c r="P5" s="12">
        <f t="shared" si="9"/>
        <v>0</v>
      </c>
      <c r="Q5" s="12">
        <f t="shared" si="10"/>
        <v>1</v>
      </c>
      <c r="R5" s="12">
        <f t="shared" si="11"/>
        <v>0</v>
      </c>
      <c r="S5" s="12">
        <f t="shared" si="12"/>
        <v>1</v>
      </c>
      <c r="T5" s="12">
        <f t="shared" si="13"/>
        <v>0</v>
      </c>
      <c r="U5" s="10" t="s">
        <v>26</v>
      </c>
      <c r="V5" s="12">
        <f t="shared" si="14"/>
        <v>1</v>
      </c>
      <c r="W5" s="12">
        <f t="shared" si="15"/>
        <v>1</v>
      </c>
      <c r="X5" s="12">
        <f t="shared" si="16"/>
        <v>1</v>
      </c>
      <c r="Y5" s="12">
        <f t="shared" si="17"/>
        <v>1</v>
      </c>
      <c r="Z5" s="12">
        <f t="shared" si="18"/>
        <v>0</v>
      </c>
      <c r="AA5" s="12">
        <f t="shared" si="19"/>
        <v>0</v>
      </c>
      <c r="AB5" s="10">
        <v>0.665</v>
      </c>
      <c r="AC5" s="13">
        <f t="shared" si="20"/>
        <v>0.6648199446</v>
      </c>
      <c r="AD5" s="12">
        <f t="shared" si="21"/>
        <v>1</v>
      </c>
      <c r="AE5" s="10">
        <v>0.518</v>
      </c>
      <c r="AF5" s="13">
        <f t="shared" si="22"/>
        <v>0.5185185185</v>
      </c>
      <c r="AG5" s="12">
        <f t="shared" si="23"/>
        <v>1</v>
      </c>
      <c r="AH5" s="18"/>
      <c r="AI5" s="13">
        <f t="shared" si="24"/>
        <v>0.3981071706</v>
      </c>
      <c r="AJ5" s="12">
        <f t="shared" si="25"/>
        <v>0</v>
      </c>
      <c r="AK5" s="18"/>
      <c r="AL5" s="14">
        <v>20.6</v>
      </c>
      <c r="AM5" s="15" t="s">
        <v>28</v>
      </c>
      <c r="AN5" s="12">
        <f t="shared" si="26"/>
        <v>0</v>
      </c>
      <c r="AO5" s="18"/>
      <c r="AP5" s="14">
        <f t="shared" si="27"/>
        <v>123.7930351</v>
      </c>
      <c r="AQ5" s="15" t="s">
        <v>28</v>
      </c>
      <c r="AR5" s="12">
        <f t="shared" si="29"/>
        <v>0</v>
      </c>
      <c r="AS5" s="16">
        <f t="shared" si="28"/>
        <v>10</v>
      </c>
    </row>
    <row r="6" ht="15.75" customHeight="1">
      <c r="A6" s="8">
        <v>5.0</v>
      </c>
      <c r="B6" s="9">
        <v>45257.66536451389</v>
      </c>
      <c r="C6" s="10" t="s">
        <v>42</v>
      </c>
      <c r="D6" s="10" t="s">
        <v>43</v>
      </c>
      <c r="E6" s="11">
        <v>363610.0</v>
      </c>
      <c r="F6" s="11">
        <f t="shared" si="1"/>
        <v>3</v>
      </c>
      <c r="G6" s="11">
        <f t="shared" si="2"/>
        <v>6</v>
      </c>
      <c r="H6" s="11">
        <f t="shared" si="3"/>
        <v>3</v>
      </c>
      <c r="I6" s="11">
        <f t="shared" si="4"/>
        <v>6</v>
      </c>
      <c r="J6" s="11">
        <f t="shared" si="5"/>
        <v>1</v>
      </c>
      <c r="K6" s="11">
        <f t="shared" si="6"/>
        <v>0</v>
      </c>
      <c r="L6" s="12">
        <v>1.0</v>
      </c>
      <c r="M6" s="10" t="s">
        <v>44</v>
      </c>
      <c r="N6" s="12">
        <f t="shared" si="7"/>
        <v>0</v>
      </c>
      <c r="O6" s="12">
        <f t="shared" si="8"/>
        <v>1</v>
      </c>
      <c r="P6" s="12">
        <f t="shared" si="9"/>
        <v>1</v>
      </c>
      <c r="Q6" s="12">
        <f t="shared" si="10"/>
        <v>1</v>
      </c>
      <c r="R6" s="12">
        <f t="shared" si="11"/>
        <v>0</v>
      </c>
      <c r="S6" s="12">
        <f t="shared" si="12"/>
        <v>0</v>
      </c>
      <c r="T6" s="12">
        <f t="shared" si="13"/>
        <v>-1</v>
      </c>
      <c r="U6" s="10" t="s">
        <v>45</v>
      </c>
      <c r="V6" s="12">
        <f t="shared" si="14"/>
        <v>0</v>
      </c>
      <c r="W6" s="12">
        <f t="shared" si="15"/>
        <v>1</v>
      </c>
      <c r="X6" s="12">
        <f t="shared" si="16"/>
        <v>1</v>
      </c>
      <c r="Y6" s="12">
        <f t="shared" si="17"/>
        <v>1</v>
      </c>
      <c r="Z6" s="12">
        <f t="shared" si="18"/>
        <v>0</v>
      </c>
      <c r="AA6" s="12">
        <f t="shared" si="19"/>
        <v>0</v>
      </c>
      <c r="AB6" s="10">
        <v>0.98</v>
      </c>
      <c r="AC6" s="13">
        <f t="shared" si="20"/>
        <v>0.75</v>
      </c>
      <c r="AD6" s="12">
        <f t="shared" si="21"/>
        <v>-1</v>
      </c>
      <c r="AE6" s="10">
        <v>0.33</v>
      </c>
      <c r="AF6" s="13">
        <f t="shared" si="22"/>
        <v>0.3333333333</v>
      </c>
      <c r="AG6" s="12">
        <f t="shared" si="23"/>
        <v>1</v>
      </c>
      <c r="AH6" s="18"/>
      <c r="AI6" s="13">
        <f t="shared" si="24"/>
        <v>0.473151259</v>
      </c>
      <c r="AJ6" s="12">
        <f t="shared" si="25"/>
        <v>0</v>
      </c>
      <c r="AK6" s="18"/>
      <c r="AL6" s="14">
        <v>18.7</v>
      </c>
      <c r="AM6" s="15" t="s">
        <v>28</v>
      </c>
      <c r="AN6" s="12">
        <f t="shared" si="26"/>
        <v>0</v>
      </c>
      <c r="AO6" s="10" t="s">
        <v>46</v>
      </c>
      <c r="AP6" s="14">
        <f t="shared" si="27"/>
        <v>122.220537</v>
      </c>
      <c r="AQ6" s="15" t="s">
        <v>28</v>
      </c>
      <c r="AR6" s="12">
        <f t="shared" si="29"/>
        <v>-1</v>
      </c>
      <c r="AS6" s="16">
        <f t="shared" si="28"/>
        <v>5</v>
      </c>
    </row>
    <row r="7" ht="15.75" customHeight="1">
      <c r="A7" s="8">
        <v>6.0</v>
      </c>
      <c r="B7" s="9">
        <v>45257.66693305556</v>
      </c>
      <c r="C7" s="10" t="s">
        <v>47</v>
      </c>
      <c r="D7" s="10" t="s">
        <v>48</v>
      </c>
      <c r="E7" s="19" t="s">
        <v>49</v>
      </c>
      <c r="F7" s="11">
        <v>3.0</v>
      </c>
      <c r="G7" s="11">
        <v>6.0</v>
      </c>
      <c r="H7" s="11">
        <v>7.0</v>
      </c>
      <c r="I7" s="11">
        <v>5.0</v>
      </c>
      <c r="J7" s="11">
        <v>0.0</v>
      </c>
      <c r="K7" s="11">
        <v>4.0</v>
      </c>
      <c r="L7" s="12">
        <v>1.0</v>
      </c>
      <c r="M7" s="10" t="s">
        <v>25</v>
      </c>
      <c r="N7" s="12">
        <f t="shared" si="7"/>
        <v>0</v>
      </c>
      <c r="O7" s="12">
        <f t="shared" si="8"/>
        <v>1</v>
      </c>
      <c r="P7" s="12">
        <f t="shared" si="9"/>
        <v>0</v>
      </c>
      <c r="Q7" s="12">
        <f t="shared" si="10"/>
        <v>1</v>
      </c>
      <c r="R7" s="12">
        <f t="shared" si="11"/>
        <v>0</v>
      </c>
      <c r="S7" s="12">
        <f t="shared" si="12"/>
        <v>1</v>
      </c>
      <c r="T7" s="12">
        <f t="shared" si="13"/>
        <v>0</v>
      </c>
      <c r="U7" s="10" t="s">
        <v>45</v>
      </c>
      <c r="V7" s="12">
        <f t="shared" si="14"/>
        <v>0</v>
      </c>
      <c r="W7" s="12">
        <f t="shared" si="15"/>
        <v>1</v>
      </c>
      <c r="X7" s="12">
        <f t="shared" si="16"/>
        <v>1</v>
      </c>
      <c r="Y7" s="12">
        <f t="shared" si="17"/>
        <v>1</v>
      </c>
      <c r="Z7" s="12">
        <f t="shared" si="18"/>
        <v>0</v>
      </c>
      <c r="AA7" s="12">
        <f t="shared" si="19"/>
        <v>0</v>
      </c>
      <c r="AB7" s="20" t="s">
        <v>50</v>
      </c>
      <c r="AC7" s="13">
        <f t="shared" si="20"/>
        <v>0.64</v>
      </c>
      <c r="AD7" s="12">
        <v>0.0</v>
      </c>
      <c r="AE7" s="20" t="s">
        <v>51</v>
      </c>
      <c r="AF7" s="13">
        <f t="shared" si="22"/>
        <v>0.5714285714</v>
      </c>
      <c r="AG7" s="12">
        <v>0.0</v>
      </c>
      <c r="AH7" s="21" t="s">
        <v>52</v>
      </c>
      <c r="AI7" s="13">
        <f t="shared" si="24"/>
        <v>0.5011872336</v>
      </c>
      <c r="AJ7" s="12">
        <v>-1.0</v>
      </c>
      <c r="AK7" s="20" t="s">
        <v>53</v>
      </c>
      <c r="AL7" s="14">
        <v>21.1</v>
      </c>
      <c r="AM7" s="15" t="s">
        <v>28</v>
      </c>
      <c r="AN7" s="12">
        <v>-1.0</v>
      </c>
      <c r="AO7" s="20" t="s">
        <v>54</v>
      </c>
      <c r="AP7" s="14">
        <f t="shared" si="27"/>
        <v>124.2226666</v>
      </c>
      <c r="AQ7" s="15" t="s">
        <v>28</v>
      </c>
      <c r="AR7" s="12">
        <f t="shared" si="29"/>
        <v>-1</v>
      </c>
      <c r="AS7" s="16">
        <f t="shared" si="28"/>
        <v>4</v>
      </c>
    </row>
    <row r="8" ht="15.75" customHeight="1">
      <c r="A8" s="8">
        <v>7.0</v>
      </c>
      <c r="B8" s="9">
        <v>45257.667163252314</v>
      </c>
      <c r="C8" s="10" t="s">
        <v>55</v>
      </c>
      <c r="D8" s="10" t="s">
        <v>56</v>
      </c>
      <c r="E8" s="11">
        <v>365846.0</v>
      </c>
      <c r="F8" s="11">
        <f t="shared" ref="F8:F10" si="30">INT(E8/100000)</f>
        <v>3</v>
      </c>
      <c r="G8" s="11">
        <f t="shared" ref="G8:G10" si="31">INT(($E8-100000*F8)/10000)</f>
        <v>6</v>
      </c>
      <c r="H8" s="11">
        <f t="shared" ref="H8:H10" si="32">INT(($E8-100000*F8-10000*G8)/1000)</f>
        <v>5</v>
      </c>
      <c r="I8" s="11">
        <f t="shared" ref="I8:I10" si="33">INT(($E8-100000*$F8-10000*$G8-1000*$H8)/100)</f>
        <v>8</v>
      </c>
      <c r="J8" s="11">
        <f t="shared" ref="J8:J10" si="34">INT(($E8-100000*$F8-10000*$G8-1000*$H8-100*$I8)/10)</f>
        <v>4</v>
      </c>
      <c r="K8" s="11">
        <f t="shared" ref="K8:K10" si="35">INT(($E8-100000*$F8-10000*$G8-1000*$H8-100*$I8-10*$J8))</f>
        <v>6</v>
      </c>
      <c r="L8" s="12">
        <v>1.0</v>
      </c>
      <c r="M8" s="10" t="s">
        <v>44</v>
      </c>
      <c r="N8" s="12">
        <f t="shared" si="7"/>
        <v>0</v>
      </c>
      <c r="O8" s="12">
        <f t="shared" si="8"/>
        <v>1</v>
      </c>
      <c r="P8" s="12">
        <f t="shared" si="9"/>
        <v>1</v>
      </c>
      <c r="Q8" s="12">
        <f t="shared" si="10"/>
        <v>1</v>
      </c>
      <c r="R8" s="12">
        <f t="shared" si="11"/>
        <v>0</v>
      </c>
      <c r="S8" s="12">
        <f t="shared" si="12"/>
        <v>0</v>
      </c>
      <c r="T8" s="12">
        <f t="shared" si="13"/>
        <v>-1</v>
      </c>
      <c r="U8" s="10" t="s">
        <v>45</v>
      </c>
      <c r="V8" s="12">
        <f t="shared" si="14"/>
        <v>0</v>
      </c>
      <c r="W8" s="12">
        <f t="shared" si="15"/>
        <v>1</v>
      </c>
      <c r="X8" s="12">
        <f t="shared" si="16"/>
        <v>1</v>
      </c>
      <c r="Y8" s="12">
        <f t="shared" si="17"/>
        <v>1</v>
      </c>
      <c r="Z8" s="12">
        <f t="shared" si="18"/>
        <v>0</v>
      </c>
      <c r="AA8" s="12">
        <f t="shared" si="19"/>
        <v>0</v>
      </c>
      <c r="AB8" s="10">
        <v>0.595</v>
      </c>
      <c r="AC8" s="13">
        <f t="shared" si="20"/>
        <v>0.5950413223</v>
      </c>
      <c r="AD8" s="12">
        <f>IF(AB8="",0,IF(ABS(AB8-AC8)&lt;=0.1,1,-1))</f>
        <v>1</v>
      </c>
      <c r="AE8" s="10">
        <v>0.667</v>
      </c>
      <c r="AF8" s="13">
        <f t="shared" si="22"/>
        <v>0.6666666667</v>
      </c>
      <c r="AG8" s="12">
        <f>IF(AE8="",0,IF(ABS(AE8-AF8)&lt;=0.1,1,-1))</f>
        <v>1</v>
      </c>
      <c r="AH8" s="22"/>
      <c r="AI8" s="13">
        <f t="shared" si="24"/>
        <v>0.3981071706</v>
      </c>
      <c r="AJ8" s="12">
        <f>IF(AH8="",0,IF(ABS(AH8-AI8)&lt;=0.1,1,-1))</f>
        <v>0</v>
      </c>
      <c r="AK8" s="18"/>
      <c r="AL8" s="14">
        <v>21.9</v>
      </c>
      <c r="AM8" s="15" t="s">
        <v>28</v>
      </c>
      <c r="AN8" s="12">
        <f t="shared" ref="AN8:AN15" si="36">IF(AK8="",0,IF(EXACT(RIGHT(AK8,5),AM8),IF(ABS(VALUE(LEFT(AK8,FIND(" ",AK8,1)))-AL8)&lt;=0.5,1,-1),-1))</f>
        <v>0</v>
      </c>
      <c r="AO8" s="10" t="s">
        <v>57</v>
      </c>
      <c r="AP8" s="14">
        <f t="shared" si="27"/>
        <v>124.7442545</v>
      </c>
      <c r="AQ8" s="15" t="s">
        <v>28</v>
      </c>
      <c r="AR8" s="12">
        <f t="shared" si="29"/>
        <v>1</v>
      </c>
      <c r="AS8" s="16">
        <f t="shared" si="28"/>
        <v>9</v>
      </c>
    </row>
    <row r="9" ht="15.75" customHeight="1">
      <c r="A9" s="8">
        <v>8.0</v>
      </c>
      <c r="B9" s="9">
        <v>45257.6853531713</v>
      </c>
      <c r="C9" s="10" t="s">
        <v>58</v>
      </c>
      <c r="D9" s="10" t="s">
        <v>59</v>
      </c>
      <c r="E9" s="11">
        <v>367800.0</v>
      </c>
      <c r="F9" s="11">
        <f t="shared" si="30"/>
        <v>3</v>
      </c>
      <c r="G9" s="11">
        <f t="shared" si="31"/>
        <v>6</v>
      </c>
      <c r="H9" s="11">
        <f t="shared" si="32"/>
        <v>7</v>
      </c>
      <c r="I9" s="11">
        <f t="shared" si="33"/>
        <v>8</v>
      </c>
      <c r="J9" s="11">
        <f t="shared" si="34"/>
        <v>0</v>
      </c>
      <c r="K9" s="11">
        <f t="shared" si="35"/>
        <v>0</v>
      </c>
      <c r="L9" s="12">
        <v>1.0</v>
      </c>
      <c r="M9" s="10" t="s">
        <v>60</v>
      </c>
      <c r="N9" s="12">
        <f t="shared" si="7"/>
        <v>0</v>
      </c>
      <c r="O9" s="12">
        <f t="shared" si="8"/>
        <v>1</v>
      </c>
      <c r="P9" s="12">
        <f t="shared" si="9"/>
        <v>0</v>
      </c>
      <c r="Q9" s="12">
        <f t="shared" si="10"/>
        <v>1</v>
      </c>
      <c r="R9" s="12">
        <f t="shared" si="11"/>
        <v>0</v>
      </c>
      <c r="S9" s="12">
        <f t="shared" si="12"/>
        <v>0</v>
      </c>
      <c r="T9" s="12">
        <f t="shared" si="13"/>
        <v>-1</v>
      </c>
      <c r="U9" s="10" t="s">
        <v>61</v>
      </c>
      <c r="V9" s="12">
        <f t="shared" si="14"/>
        <v>0</v>
      </c>
      <c r="W9" s="12">
        <f t="shared" si="15"/>
        <v>0</v>
      </c>
      <c r="X9" s="12">
        <f t="shared" si="16"/>
        <v>1</v>
      </c>
      <c r="Y9" s="12">
        <f t="shared" si="17"/>
        <v>0</v>
      </c>
      <c r="Z9" s="12">
        <f t="shared" si="18"/>
        <v>-1</v>
      </c>
      <c r="AA9" s="12">
        <f t="shared" si="19"/>
        <v>0</v>
      </c>
      <c r="AB9" s="21" t="s">
        <v>62</v>
      </c>
      <c r="AC9" s="13">
        <f t="shared" si="20"/>
        <v>0.75</v>
      </c>
      <c r="AD9" s="12">
        <v>0.0</v>
      </c>
      <c r="AE9" s="21" t="s">
        <v>63</v>
      </c>
      <c r="AF9" s="13">
        <f t="shared" si="22"/>
        <v>0.3333333333</v>
      </c>
      <c r="AG9" s="12">
        <v>0.0</v>
      </c>
      <c r="AH9" s="21" t="s">
        <v>64</v>
      </c>
      <c r="AI9" s="13">
        <f t="shared" si="24"/>
        <v>0.5011872336</v>
      </c>
      <c r="AJ9" s="12">
        <v>-1.0</v>
      </c>
      <c r="AK9" s="21" t="s">
        <v>65</v>
      </c>
      <c r="AL9" s="14">
        <v>18.7</v>
      </c>
      <c r="AM9" s="15" t="s">
        <v>28</v>
      </c>
      <c r="AN9" s="12">
        <f t="shared" si="36"/>
        <v>-1</v>
      </c>
      <c r="AO9" s="21" t="s">
        <v>66</v>
      </c>
      <c r="AP9" s="14">
        <f t="shared" si="27"/>
        <v>123.6043344</v>
      </c>
      <c r="AQ9" s="15" t="s">
        <v>28</v>
      </c>
      <c r="AR9" s="12">
        <v>0.0</v>
      </c>
      <c r="AS9" s="16">
        <f t="shared" si="28"/>
        <v>0</v>
      </c>
    </row>
    <row r="10" ht="15.75" customHeight="1">
      <c r="A10" s="8">
        <v>9.0</v>
      </c>
      <c r="B10" s="9">
        <v>45257.68653313657</v>
      </c>
      <c r="C10" s="10" t="s">
        <v>67</v>
      </c>
      <c r="D10" s="10" t="s">
        <v>68</v>
      </c>
      <c r="E10" s="11">
        <v>368048.0</v>
      </c>
      <c r="F10" s="11">
        <f t="shared" si="30"/>
        <v>3</v>
      </c>
      <c r="G10" s="11">
        <f t="shared" si="31"/>
        <v>6</v>
      </c>
      <c r="H10" s="11">
        <f t="shared" si="32"/>
        <v>8</v>
      </c>
      <c r="I10" s="11">
        <f t="shared" si="33"/>
        <v>0</v>
      </c>
      <c r="J10" s="11">
        <f t="shared" si="34"/>
        <v>4</v>
      </c>
      <c r="K10" s="11">
        <f t="shared" si="35"/>
        <v>8</v>
      </c>
      <c r="L10" s="12">
        <v>1.0</v>
      </c>
      <c r="M10" s="10" t="s">
        <v>69</v>
      </c>
      <c r="N10" s="12">
        <f t="shared" si="7"/>
        <v>0</v>
      </c>
      <c r="O10" s="12">
        <f t="shared" si="8"/>
        <v>1</v>
      </c>
      <c r="P10" s="12">
        <f t="shared" si="9"/>
        <v>0</v>
      </c>
      <c r="Q10" s="12">
        <f t="shared" si="10"/>
        <v>1</v>
      </c>
      <c r="R10" s="12">
        <f t="shared" si="11"/>
        <v>0</v>
      </c>
      <c r="S10" s="12">
        <f t="shared" si="12"/>
        <v>0</v>
      </c>
      <c r="T10" s="12">
        <f t="shared" si="13"/>
        <v>0</v>
      </c>
      <c r="U10" s="10" t="s">
        <v>61</v>
      </c>
      <c r="V10" s="12">
        <f t="shared" si="14"/>
        <v>0</v>
      </c>
      <c r="W10" s="12">
        <f t="shared" si="15"/>
        <v>0</v>
      </c>
      <c r="X10" s="12">
        <f t="shared" si="16"/>
        <v>1</v>
      </c>
      <c r="Y10" s="12">
        <f t="shared" si="17"/>
        <v>0</v>
      </c>
      <c r="Z10" s="12">
        <f t="shared" si="18"/>
        <v>-1</v>
      </c>
      <c r="AA10" s="12">
        <f t="shared" si="19"/>
        <v>0</v>
      </c>
      <c r="AB10" s="20" t="s">
        <v>70</v>
      </c>
      <c r="AC10" s="13">
        <f t="shared" si="20"/>
        <v>0.5555555556</v>
      </c>
      <c r="AD10" s="12">
        <v>1.0</v>
      </c>
      <c r="AE10" s="20" t="s">
        <v>71</v>
      </c>
      <c r="AF10" s="13">
        <f t="shared" si="22"/>
        <v>0.75</v>
      </c>
      <c r="AG10" s="12">
        <v>-1.0</v>
      </c>
      <c r="AH10" s="21" t="s">
        <v>72</v>
      </c>
      <c r="AI10" s="13">
        <f t="shared" si="24"/>
        <v>0.3981071706</v>
      </c>
      <c r="AJ10" s="12">
        <v>-1.0</v>
      </c>
      <c r="AK10" s="21" t="s">
        <v>73</v>
      </c>
      <c r="AL10" s="14">
        <v>22.6</v>
      </c>
      <c r="AM10" s="15" t="s">
        <v>28</v>
      </c>
      <c r="AN10" s="12">
        <f t="shared" si="36"/>
        <v>-1</v>
      </c>
      <c r="AO10" s="20" t="s">
        <v>74</v>
      </c>
      <c r="AP10" s="14">
        <f t="shared" si="27"/>
        <v>126.0276911</v>
      </c>
      <c r="AQ10" s="15" t="s">
        <v>28</v>
      </c>
      <c r="AR10" s="12">
        <v>-1.0</v>
      </c>
      <c r="AS10" s="16">
        <f t="shared" si="28"/>
        <v>0</v>
      </c>
    </row>
    <row r="11" ht="15.75" customHeight="1">
      <c r="A11" s="8">
        <v>10.0</v>
      </c>
      <c r="B11" s="9">
        <v>45257.687321516205</v>
      </c>
      <c r="C11" s="10" t="s">
        <v>75</v>
      </c>
      <c r="D11" s="10" t="s">
        <v>76</v>
      </c>
      <c r="E11" s="19" t="s">
        <v>77</v>
      </c>
      <c r="F11" s="11">
        <v>3.0</v>
      </c>
      <c r="G11" s="11">
        <v>6.0</v>
      </c>
      <c r="H11" s="11">
        <v>7.0</v>
      </c>
      <c r="I11" s="11">
        <v>7.0</v>
      </c>
      <c r="J11" s="11">
        <v>9.0</v>
      </c>
      <c r="K11" s="11">
        <v>8.0</v>
      </c>
      <c r="L11" s="12">
        <v>1.0</v>
      </c>
      <c r="M11" s="10" t="s">
        <v>25</v>
      </c>
      <c r="N11" s="12">
        <f t="shared" si="7"/>
        <v>0</v>
      </c>
      <c r="O11" s="12">
        <f t="shared" si="8"/>
        <v>1</v>
      </c>
      <c r="P11" s="12">
        <f t="shared" si="9"/>
        <v>0</v>
      </c>
      <c r="Q11" s="12">
        <f t="shared" si="10"/>
        <v>1</v>
      </c>
      <c r="R11" s="12">
        <f t="shared" si="11"/>
        <v>0</v>
      </c>
      <c r="S11" s="12">
        <f t="shared" si="12"/>
        <v>1</v>
      </c>
      <c r="T11" s="12">
        <f t="shared" si="13"/>
        <v>0</v>
      </c>
      <c r="U11" s="10" t="s">
        <v>32</v>
      </c>
      <c r="V11" s="12">
        <f t="shared" si="14"/>
        <v>0</v>
      </c>
      <c r="W11" s="12">
        <f t="shared" si="15"/>
        <v>0</v>
      </c>
      <c r="X11" s="12">
        <f t="shared" si="16"/>
        <v>1</v>
      </c>
      <c r="Y11" s="12">
        <f t="shared" si="17"/>
        <v>0</v>
      </c>
      <c r="Z11" s="12">
        <f t="shared" si="18"/>
        <v>0</v>
      </c>
      <c r="AA11" s="12">
        <f t="shared" si="19"/>
        <v>0</v>
      </c>
      <c r="AB11" s="21" t="s">
        <v>78</v>
      </c>
      <c r="AC11" s="13">
        <f t="shared" si="20"/>
        <v>0.5555555556</v>
      </c>
      <c r="AD11" s="12">
        <v>-1.0</v>
      </c>
      <c r="AE11" s="21" t="s">
        <v>79</v>
      </c>
      <c r="AF11" s="13">
        <f t="shared" si="22"/>
        <v>0.75</v>
      </c>
      <c r="AG11" s="12">
        <v>-1.0</v>
      </c>
      <c r="AH11" s="21" t="s">
        <v>80</v>
      </c>
      <c r="AI11" s="13">
        <f t="shared" si="24"/>
        <v>0.2985382619</v>
      </c>
      <c r="AJ11" s="12">
        <v>-1.0</v>
      </c>
      <c r="AK11" s="21" t="s">
        <v>81</v>
      </c>
      <c r="AL11" s="14">
        <v>22.6</v>
      </c>
      <c r="AM11" s="15" t="s">
        <v>28</v>
      </c>
      <c r="AN11" s="12">
        <f t="shared" si="36"/>
        <v>-1</v>
      </c>
      <c r="AO11" s="21" t="s">
        <v>82</v>
      </c>
      <c r="AP11" s="14">
        <f t="shared" si="27"/>
        <v>126.5681346</v>
      </c>
      <c r="AQ11" s="15" t="s">
        <v>28</v>
      </c>
      <c r="AR11" s="12">
        <f t="shared" ref="AR11:AR15" si="37">IF(AO11="",0,IF(EXACT(RIGHT(AO11,5),AQ11),IF(ABS(VALUE(LEFT(AO11,FIND(" ",AO11,1)))-AP11)&lt;=0.5,1,-1),-1))</f>
        <v>-1</v>
      </c>
      <c r="AS11" s="16">
        <f t="shared" si="28"/>
        <v>0</v>
      </c>
    </row>
    <row r="12" ht="15.75" customHeight="1">
      <c r="A12" s="8">
        <v>11.0</v>
      </c>
      <c r="B12" s="9">
        <v>45257.688869652775</v>
      </c>
      <c r="C12" s="10" t="s">
        <v>83</v>
      </c>
      <c r="D12" s="10" t="s">
        <v>84</v>
      </c>
      <c r="E12" s="11">
        <v>356942.0</v>
      </c>
      <c r="F12" s="11">
        <f t="shared" ref="F12:F15" si="38">INT(E12/100000)</f>
        <v>3</v>
      </c>
      <c r="G12" s="11">
        <f t="shared" ref="G12:G15" si="39">INT(($E12-100000*F12)/10000)</f>
        <v>5</v>
      </c>
      <c r="H12" s="11">
        <f t="shared" ref="H12:H15" si="40">INT(($E12-100000*F12-10000*G12)/1000)</f>
        <v>6</v>
      </c>
      <c r="I12" s="11">
        <f t="shared" ref="I12:I15" si="41">INT(($E12-100000*$F12-10000*$G12-1000*$H12)/100)</f>
        <v>9</v>
      </c>
      <c r="J12" s="11">
        <f t="shared" ref="J12:J15" si="42">INT(($E12-100000*$F12-10000*$G12-1000*$H12-100*$I12)/10)</f>
        <v>4</v>
      </c>
      <c r="K12" s="11">
        <f t="shared" ref="K12:K15" si="43">INT(($E12-100000*$F12-10000*$G12-1000*$H12-100*$I12-10*$J12))</f>
        <v>2</v>
      </c>
      <c r="L12" s="12">
        <v>1.0</v>
      </c>
      <c r="M12" s="10" t="s">
        <v>85</v>
      </c>
      <c r="N12" s="12">
        <f t="shared" si="7"/>
        <v>1</v>
      </c>
      <c r="O12" s="12">
        <f t="shared" si="8"/>
        <v>1</v>
      </c>
      <c r="P12" s="12">
        <f t="shared" si="9"/>
        <v>1</v>
      </c>
      <c r="Q12" s="12">
        <f t="shared" si="10"/>
        <v>1</v>
      </c>
      <c r="R12" s="12">
        <f t="shared" si="11"/>
        <v>0</v>
      </c>
      <c r="S12" s="12">
        <f t="shared" si="12"/>
        <v>1</v>
      </c>
      <c r="T12" s="12">
        <f t="shared" si="13"/>
        <v>0</v>
      </c>
      <c r="U12" s="10" t="s">
        <v>86</v>
      </c>
      <c r="V12" s="12">
        <f t="shared" si="14"/>
        <v>1</v>
      </c>
      <c r="W12" s="12">
        <f t="shared" si="15"/>
        <v>0</v>
      </c>
      <c r="X12" s="12">
        <f t="shared" si="16"/>
        <v>1</v>
      </c>
      <c r="Y12" s="12">
        <f t="shared" si="17"/>
        <v>1</v>
      </c>
      <c r="Z12" s="12">
        <f t="shared" si="18"/>
        <v>0</v>
      </c>
      <c r="AA12" s="12">
        <f t="shared" si="19"/>
        <v>1</v>
      </c>
      <c r="AB12" s="10">
        <v>0.691</v>
      </c>
      <c r="AC12" s="13">
        <f t="shared" si="20"/>
        <v>0.6913580247</v>
      </c>
      <c r="AD12" s="12">
        <f t="shared" ref="AD12:AD14" si="44">IF(AB12="",0,IF(ABS(AB12-AC12)&lt;=0.1,1,-1))</f>
        <v>1</v>
      </c>
      <c r="AE12" s="10">
        <v>0.462</v>
      </c>
      <c r="AF12" s="13">
        <f t="shared" si="22"/>
        <v>0.4615384615</v>
      </c>
      <c r="AG12" s="12">
        <f t="shared" ref="AG12:AG15" si="45">IF(AE12="",0,IF(ABS(AE12-AF12)&lt;=0.1,1,-1))</f>
        <v>1</v>
      </c>
      <c r="AH12" s="10">
        <v>0.398</v>
      </c>
      <c r="AI12" s="13">
        <f t="shared" si="24"/>
        <v>0.3981071706</v>
      </c>
      <c r="AJ12" s="12">
        <f t="shared" ref="AJ12:AJ15" si="46">IF(AH12="",0,IF(ABS(AH12-AI12)&lt;=0.1,1,-1))</f>
        <v>1</v>
      </c>
      <c r="AK12" s="10" t="s">
        <v>87</v>
      </c>
      <c r="AL12" s="14">
        <v>20.0</v>
      </c>
      <c r="AM12" s="15" t="s">
        <v>28</v>
      </c>
      <c r="AN12" s="12">
        <f t="shared" si="36"/>
        <v>-1</v>
      </c>
      <c r="AO12" s="10" t="s">
        <v>88</v>
      </c>
      <c r="AP12" s="14">
        <f t="shared" si="27"/>
        <v>123.9516749</v>
      </c>
      <c r="AQ12" s="15" t="s">
        <v>28</v>
      </c>
      <c r="AR12" s="12">
        <f t="shared" si="37"/>
        <v>1</v>
      </c>
      <c r="AS12" s="16">
        <f t="shared" si="28"/>
        <v>13</v>
      </c>
    </row>
    <row r="13" ht="15.75" customHeight="1">
      <c r="A13" s="8">
        <v>12.0</v>
      </c>
      <c r="B13" s="9">
        <v>45257.68939743056</v>
      </c>
      <c r="C13" s="10" t="s">
        <v>89</v>
      </c>
      <c r="D13" s="10" t="s">
        <v>90</v>
      </c>
      <c r="E13" s="11">
        <v>343833.0</v>
      </c>
      <c r="F13" s="11">
        <f t="shared" si="38"/>
        <v>3</v>
      </c>
      <c r="G13" s="11">
        <f t="shared" si="39"/>
        <v>4</v>
      </c>
      <c r="H13" s="11">
        <f t="shared" si="40"/>
        <v>3</v>
      </c>
      <c r="I13" s="11">
        <f t="shared" si="41"/>
        <v>8</v>
      </c>
      <c r="J13" s="11">
        <f t="shared" si="42"/>
        <v>3</v>
      </c>
      <c r="K13" s="11">
        <f t="shared" si="43"/>
        <v>3</v>
      </c>
      <c r="L13" s="12">
        <v>1.0</v>
      </c>
      <c r="M13" s="10" t="s">
        <v>85</v>
      </c>
      <c r="N13" s="12">
        <f t="shared" si="7"/>
        <v>1</v>
      </c>
      <c r="O13" s="12">
        <f t="shared" si="8"/>
        <v>1</v>
      </c>
      <c r="P13" s="12">
        <f t="shared" si="9"/>
        <v>1</v>
      </c>
      <c r="Q13" s="12">
        <f t="shared" si="10"/>
        <v>1</v>
      </c>
      <c r="R13" s="12">
        <f t="shared" si="11"/>
        <v>0</v>
      </c>
      <c r="S13" s="12">
        <f t="shared" si="12"/>
        <v>1</v>
      </c>
      <c r="T13" s="12">
        <f t="shared" si="13"/>
        <v>0</v>
      </c>
      <c r="U13" s="10" t="s">
        <v>86</v>
      </c>
      <c r="V13" s="12">
        <f t="shared" si="14"/>
        <v>1</v>
      </c>
      <c r="W13" s="12">
        <f t="shared" si="15"/>
        <v>0</v>
      </c>
      <c r="X13" s="12">
        <f t="shared" si="16"/>
        <v>1</v>
      </c>
      <c r="Y13" s="12">
        <f t="shared" si="17"/>
        <v>1</v>
      </c>
      <c r="Z13" s="12">
        <f t="shared" si="18"/>
        <v>0</v>
      </c>
      <c r="AA13" s="12">
        <f t="shared" si="19"/>
        <v>1</v>
      </c>
      <c r="AB13" s="10">
        <v>0.665</v>
      </c>
      <c r="AC13" s="13">
        <f t="shared" si="20"/>
        <v>0.6648199446</v>
      </c>
      <c r="AD13" s="12">
        <f t="shared" si="44"/>
        <v>1</v>
      </c>
      <c r="AE13" s="10">
        <v>0.518</v>
      </c>
      <c r="AF13" s="13">
        <f t="shared" si="22"/>
        <v>0.5185185185</v>
      </c>
      <c r="AG13" s="12">
        <f t="shared" si="45"/>
        <v>1</v>
      </c>
      <c r="AH13" s="10">
        <v>0.421</v>
      </c>
      <c r="AI13" s="13">
        <f t="shared" si="24"/>
        <v>0.4216965034</v>
      </c>
      <c r="AJ13" s="12">
        <f t="shared" si="46"/>
        <v>1</v>
      </c>
      <c r="AK13" s="18"/>
      <c r="AL13" s="14">
        <v>20.6</v>
      </c>
      <c r="AM13" s="15" t="s">
        <v>28</v>
      </c>
      <c r="AN13" s="12">
        <f t="shared" si="36"/>
        <v>0</v>
      </c>
      <c r="AO13" s="10" t="s">
        <v>91</v>
      </c>
      <c r="AP13" s="14">
        <f t="shared" si="27"/>
        <v>123.2050933</v>
      </c>
      <c r="AQ13" s="15" t="s">
        <v>28</v>
      </c>
      <c r="AR13" s="12">
        <f t="shared" si="37"/>
        <v>1</v>
      </c>
      <c r="AS13" s="16">
        <f t="shared" si="28"/>
        <v>14</v>
      </c>
    </row>
    <row r="14" ht="15.75" customHeight="1">
      <c r="A14" s="8">
        <v>13.0</v>
      </c>
      <c r="B14" s="9">
        <v>45257.68987526621</v>
      </c>
      <c r="C14" s="10" t="s">
        <v>92</v>
      </c>
      <c r="D14" s="10" t="s">
        <v>93</v>
      </c>
      <c r="E14" s="11">
        <v>307205.0</v>
      </c>
      <c r="F14" s="11">
        <f t="shared" si="38"/>
        <v>3</v>
      </c>
      <c r="G14" s="11">
        <f t="shared" si="39"/>
        <v>0</v>
      </c>
      <c r="H14" s="11">
        <f t="shared" si="40"/>
        <v>7</v>
      </c>
      <c r="I14" s="11">
        <f t="shared" si="41"/>
        <v>2</v>
      </c>
      <c r="J14" s="11">
        <f t="shared" si="42"/>
        <v>0</v>
      </c>
      <c r="K14" s="11">
        <f t="shared" si="43"/>
        <v>5</v>
      </c>
      <c r="L14" s="12">
        <v>1.0</v>
      </c>
      <c r="M14" s="10" t="s">
        <v>94</v>
      </c>
      <c r="N14" s="12">
        <f t="shared" si="7"/>
        <v>0</v>
      </c>
      <c r="O14" s="12">
        <f t="shared" si="8"/>
        <v>1</v>
      </c>
      <c r="P14" s="12">
        <f t="shared" si="9"/>
        <v>1</v>
      </c>
      <c r="Q14" s="12">
        <f t="shared" si="10"/>
        <v>1</v>
      </c>
      <c r="R14" s="12">
        <f t="shared" si="11"/>
        <v>0</v>
      </c>
      <c r="S14" s="12">
        <f t="shared" si="12"/>
        <v>0</v>
      </c>
      <c r="T14" s="12">
        <f t="shared" si="13"/>
        <v>0</v>
      </c>
      <c r="U14" s="10" t="s">
        <v>95</v>
      </c>
      <c r="V14" s="12">
        <f t="shared" si="14"/>
        <v>1</v>
      </c>
      <c r="W14" s="12">
        <f t="shared" si="15"/>
        <v>1</v>
      </c>
      <c r="X14" s="12">
        <f t="shared" si="16"/>
        <v>1</v>
      </c>
      <c r="Y14" s="12">
        <f t="shared" si="17"/>
        <v>1</v>
      </c>
      <c r="Z14" s="12">
        <f t="shared" si="18"/>
        <v>0</v>
      </c>
      <c r="AA14" s="12">
        <f t="shared" si="19"/>
        <v>1</v>
      </c>
      <c r="AB14" s="10">
        <v>0.616</v>
      </c>
      <c r="AC14" s="13">
        <f t="shared" si="20"/>
        <v>0.6167800454</v>
      </c>
      <c r="AD14" s="12">
        <f t="shared" si="44"/>
        <v>1</v>
      </c>
      <c r="AE14" s="10">
        <v>0.55</v>
      </c>
      <c r="AF14" s="13">
        <f t="shared" si="22"/>
        <v>0.6206896552</v>
      </c>
      <c r="AG14" s="12">
        <f t="shared" si="45"/>
        <v>1</v>
      </c>
      <c r="AH14" s="10">
        <v>0.498</v>
      </c>
      <c r="AI14" s="13">
        <f t="shared" si="24"/>
        <v>0.5011872336</v>
      </c>
      <c r="AJ14" s="12">
        <f t="shared" si="46"/>
        <v>1</v>
      </c>
      <c r="AK14" s="10" t="s">
        <v>96</v>
      </c>
      <c r="AL14" s="14">
        <v>21.5</v>
      </c>
      <c r="AM14" s="15" t="s">
        <v>28</v>
      </c>
      <c r="AN14" s="12">
        <f t="shared" si="36"/>
        <v>-1</v>
      </c>
      <c r="AO14" s="10" t="s">
        <v>97</v>
      </c>
      <c r="AP14" s="14">
        <f t="shared" si="27"/>
        <v>124.4275819</v>
      </c>
      <c r="AQ14" s="15" t="s">
        <v>28</v>
      </c>
      <c r="AR14" s="12">
        <f t="shared" si="37"/>
        <v>1</v>
      </c>
      <c r="AS14" s="16">
        <f t="shared" si="28"/>
        <v>12</v>
      </c>
    </row>
    <row r="15" ht="15.75" customHeight="1">
      <c r="A15" s="23">
        <v>14.0</v>
      </c>
      <c r="B15" s="24">
        <v>45257.693241030094</v>
      </c>
      <c r="C15" s="25" t="s">
        <v>98</v>
      </c>
      <c r="D15" s="25" t="s">
        <v>99</v>
      </c>
      <c r="E15" s="26">
        <v>123456.0</v>
      </c>
      <c r="F15" s="27">
        <f t="shared" si="38"/>
        <v>1</v>
      </c>
      <c r="G15" s="27">
        <f t="shared" si="39"/>
        <v>2</v>
      </c>
      <c r="H15" s="27">
        <f t="shared" si="40"/>
        <v>3</v>
      </c>
      <c r="I15" s="27">
        <f t="shared" si="41"/>
        <v>4</v>
      </c>
      <c r="J15" s="27">
        <f t="shared" si="42"/>
        <v>5</v>
      </c>
      <c r="K15" s="27">
        <f t="shared" si="43"/>
        <v>6</v>
      </c>
      <c r="L15" s="28">
        <v>1.0</v>
      </c>
      <c r="M15" s="25" t="s">
        <v>25</v>
      </c>
      <c r="N15" s="28">
        <f t="shared" si="7"/>
        <v>0</v>
      </c>
      <c r="O15" s="28">
        <f t="shared" si="8"/>
        <v>1</v>
      </c>
      <c r="P15" s="28">
        <f t="shared" si="9"/>
        <v>0</v>
      </c>
      <c r="Q15" s="28">
        <f t="shared" si="10"/>
        <v>1</v>
      </c>
      <c r="R15" s="28">
        <f t="shared" si="11"/>
        <v>0</v>
      </c>
      <c r="S15" s="28">
        <f t="shared" si="12"/>
        <v>1</v>
      </c>
      <c r="T15" s="28">
        <f t="shared" si="13"/>
        <v>0</v>
      </c>
      <c r="U15" s="25" t="s">
        <v>100</v>
      </c>
      <c r="V15" s="28">
        <f t="shared" si="14"/>
        <v>1</v>
      </c>
      <c r="W15" s="28">
        <f t="shared" si="15"/>
        <v>1</v>
      </c>
      <c r="X15" s="28">
        <f t="shared" si="16"/>
        <v>1</v>
      </c>
      <c r="Y15" s="28">
        <f t="shared" si="17"/>
        <v>0</v>
      </c>
      <c r="Z15" s="28">
        <f t="shared" si="18"/>
        <v>-1</v>
      </c>
      <c r="AA15" s="28">
        <f t="shared" si="19"/>
        <v>0</v>
      </c>
      <c r="AB15" s="25" t="s">
        <v>101</v>
      </c>
      <c r="AC15" s="29">
        <f t="shared" si="20"/>
        <v>0.5950413223</v>
      </c>
      <c r="AD15" s="28">
        <v>-1.0</v>
      </c>
      <c r="AE15" s="25">
        <v>0.084</v>
      </c>
      <c r="AF15" s="29">
        <f t="shared" si="22"/>
        <v>0.6666666667</v>
      </c>
      <c r="AG15" s="28">
        <f t="shared" si="45"/>
        <v>-1</v>
      </c>
      <c r="AH15" s="25">
        <v>0.5</v>
      </c>
      <c r="AI15" s="29">
        <f t="shared" si="24"/>
        <v>0.3758374043</v>
      </c>
      <c r="AJ15" s="28">
        <f t="shared" si="46"/>
        <v>-1</v>
      </c>
      <c r="AK15" s="30"/>
      <c r="AL15" s="31">
        <v>21.9</v>
      </c>
      <c r="AM15" s="32" t="s">
        <v>28</v>
      </c>
      <c r="AN15" s="28">
        <f t="shared" si="36"/>
        <v>0</v>
      </c>
      <c r="AO15" s="33" t="s">
        <v>102</v>
      </c>
      <c r="AP15" s="31">
        <f t="shared" si="27"/>
        <v>124.2859042</v>
      </c>
      <c r="AQ15" s="32" t="s">
        <v>28</v>
      </c>
      <c r="AR15" s="28">
        <f t="shared" si="37"/>
        <v>-1</v>
      </c>
      <c r="AS15" s="34">
        <f t="shared" si="28"/>
        <v>2</v>
      </c>
    </row>
    <row r="16" ht="15.75" customHeight="1"/>
    <row r="17" ht="15.75" customHeight="1">
      <c r="A17" s="35" t="s">
        <v>103</v>
      </c>
      <c r="B17" s="36"/>
      <c r="C17" s="36"/>
    </row>
    <row r="18" ht="15.75" customHeight="1">
      <c r="A18" s="37" t="s">
        <v>104</v>
      </c>
      <c r="B18" s="38"/>
      <c r="C18" s="38"/>
    </row>
    <row r="19" ht="15.75" customHeight="1">
      <c r="A19" s="39" t="s">
        <v>105</v>
      </c>
      <c r="B19" s="40"/>
      <c r="C19" s="40"/>
    </row>
    <row r="20" ht="15.75" customHeight="1">
      <c r="A20" s="41" t="s">
        <v>106</v>
      </c>
      <c r="B20" s="42"/>
      <c r="C20" s="42"/>
    </row>
    <row r="21" ht="15.75" customHeight="1">
      <c r="A21" s="36"/>
      <c r="B21" s="36"/>
      <c r="C21" s="36"/>
    </row>
    <row r="22" ht="15.75" customHeight="1">
      <c r="A22" s="35" t="s">
        <v>107</v>
      </c>
      <c r="B22" s="36"/>
      <c r="C22" s="36"/>
    </row>
    <row r="23" ht="15.75" customHeight="1">
      <c r="A23" s="43" t="s">
        <v>108</v>
      </c>
      <c r="B23" s="43"/>
      <c r="C23" s="43"/>
    </row>
    <row r="24" ht="15.75" customHeight="1">
      <c r="A24" s="44" t="s">
        <v>109</v>
      </c>
      <c r="B24" s="44"/>
      <c r="C24" s="44"/>
    </row>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conditionalFormatting sqref="L2:L15">
    <cfRule type="cellIs" dxfId="0" priority="1" operator="equal">
      <formula>0</formula>
    </cfRule>
  </conditionalFormatting>
  <conditionalFormatting sqref="L2:L15">
    <cfRule type="cellIs" dxfId="1" priority="2" operator="equal">
      <formula>-1</formula>
    </cfRule>
  </conditionalFormatting>
  <conditionalFormatting sqref="L2:L15">
    <cfRule type="cellIs" dxfId="2" priority="3" operator="equal">
      <formula>1</formula>
    </cfRule>
  </conditionalFormatting>
  <conditionalFormatting sqref="N2:T15">
    <cfRule type="cellIs" dxfId="0" priority="4" operator="equal">
      <formula>0</formula>
    </cfRule>
  </conditionalFormatting>
  <conditionalFormatting sqref="N2:T15">
    <cfRule type="cellIs" dxfId="1" priority="5" operator="equal">
      <formula>-1</formula>
    </cfRule>
  </conditionalFormatting>
  <conditionalFormatting sqref="N2:T15">
    <cfRule type="cellIs" dxfId="2" priority="6" operator="equal">
      <formula>1</formula>
    </cfRule>
  </conditionalFormatting>
  <conditionalFormatting sqref="V2:AA15">
    <cfRule type="cellIs" dxfId="0" priority="7" operator="equal">
      <formula>0</formula>
    </cfRule>
  </conditionalFormatting>
  <conditionalFormatting sqref="V2:AA15">
    <cfRule type="cellIs" dxfId="1" priority="8" operator="equal">
      <formula>-1</formula>
    </cfRule>
  </conditionalFormatting>
  <conditionalFormatting sqref="V2:AA15">
    <cfRule type="cellIs" dxfId="2" priority="9" operator="equal">
      <formula>1</formula>
    </cfRule>
  </conditionalFormatting>
  <conditionalFormatting sqref="AD2:AD15">
    <cfRule type="cellIs" dxfId="0" priority="10" operator="equal">
      <formula>0</formula>
    </cfRule>
  </conditionalFormatting>
  <conditionalFormatting sqref="AD2:AD15">
    <cfRule type="cellIs" dxfId="1" priority="11" operator="equal">
      <formula>-1</formula>
    </cfRule>
  </conditionalFormatting>
  <conditionalFormatting sqref="AD2:AD15">
    <cfRule type="cellIs" dxfId="2" priority="12" operator="equal">
      <formula>1</formula>
    </cfRule>
  </conditionalFormatting>
  <conditionalFormatting sqref="AG2:AG15">
    <cfRule type="cellIs" dxfId="0" priority="13" operator="equal">
      <formula>0</formula>
    </cfRule>
  </conditionalFormatting>
  <conditionalFormatting sqref="AG2:AG15">
    <cfRule type="cellIs" dxfId="1" priority="14" operator="equal">
      <formula>-1</formula>
    </cfRule>
  </conditionalFormatting>
  <conditionalFormatting sqref="AG2:AG15">
    <cfRule type="cellIs" dxfId="2" priority="15" operator="equal">
      <formula>1</formula>
    </cfRule>
  </conditionalFormatting>
  <conditionalFormatting sqref="AJ2:AJ15">
    <cfRule type="cellIs" dxfId="0" priority="16" operator="equal">
      <formula>0</formula>
    </cfRule>
  </conditionalFormatting>
  <conditionalFormatting sqref="AJ2:AJ15">
    <cfRule type="cellIs" dxfId="1" priority="17" operator="equal">
      <formula>-1</formula>
    </cfRule>
  </conditionalFormatting>
  <conditionalFormatting sqref="AJ2:AJ15">
    <cfRule type="cellIs" dxfId="2" priority="18" operator="equal">
      <formula>1</formula>
    </cfRule>
  </conditionalFormatting>
  <conditionalFormatting sqref="AN2:AN15">
    <cfRule type="cellIs" dxfId="0" priority="19" operator="equal">
      <formula>0</formula>
    </cfRule>
  </conditionalFormatting>
  <conditionalFormatting sqref="AN2:AN15">
    <cfRule type="cellIs" dxfId="1" priority="20" operator="equal">
      <formula>-1</formula>
    </cfRule>
  </conditionalFormatting>
  <conditionalFormatting sqref="AN2:AN15">
    <cfRule type="cellIs" dxfId="2" priority="21" operator="equal">
      <formula>1</formula>
    </cfRule>
  </conditionalFormatting>
  <conditionalFormatting sqref="AR2:AR15">
    <cfRule type="cellIs" dxfId="0" priority="22" operator="equal">
      <formula>0</formula>
    </cfRule>
  </conditionalFormatting>
  <conditionalFormatting sqref="AR2:AR15">
    <cfRule type="cellIs" dxfId="1" priority="23" operator="equal">
      <formula>-1</formula>
    </cfRule>
  </conditionalFormatting>
  <conditionalFormatting sqref="AR2:AR15">
    <cfRule type="cellIs" dxfId="2" priority="24" operator="equal">
      <formula>1</formula>
    </cfRule>
  </conditionalFormatting>
  <printOptions/>
  <pageMargins bottom="0.75" footer="0.0" header="0.0" left="0.7" right="0.7" top="0.75"/>
  <pageSetup orientation="landscape"/>
  <drawing r:id="rId1"/>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2.63" defaultRowHeight="15.0"/>
  <cols>
    <col customWidth="1" min="1" max="1" width="8.63"/>
    <col customWidth="1" min="2" max="3" width="11.75"/>
    <col customWidth="1" min="4" max="7" width="8.63"/>
    <col customWidth="1" min="8" max="8" width="11.75"/>
    <col customWidth="1" min="9" max="26" width="8.63"/>
  </cols>
  <sheetData>
    <row r="1" ht="12.75" customHeight="1">
      <c r="A1" s="45" t="s">
        <v>110</v>
      </c>
    </row>
    <row r="2" ht="12.75" customHeight="1">
      <c r="A2" s="45"/>
    </row>
    <row r="3" ht="12.75" customHeight="1">
      <c r="A3" s="46" t="s">
        <v>4</v>
      </c>
    </row>
    <row r="4" ht="12.75" customHeight="1">
      <c r="A4" s="47" t="s">
        <v>5</v>
      </c>
      <c r="B4" s="48" t="s">
        <v>6</v>
      </c>
      <c r="C4" s="48" t="s">
        <v>7</v>
      </c>
      <c r="D4" s="48" t="s">
        <v>8</v>
      </c>
      <c r="E4" s="48" t="s">
        <v>9</v>
      </c>
      <c r="F4" s="49" t="s">
        <v>10</v>
      </c>
    </row>
    <row r="5" ht="12.75" customHeight="1">
      <c r="A5" s="50">
        <v>1.0</v>
      </c>
      <c r="B5" s="50">
        <v>2.0</v>
      </c>
      <c r="C5" s="50">
        <v>3.0</v>
      </c>
      <c r="D5" s="50">
        <v>4.0</v>
      </c>
      <c r="E5" s="50">
        <v>5.0</v>
      </c>
      <c r="F5" s="50">
        <v>6.0</v>
      </c>
    </row>
    <row r="6" ht="12.75" customHeight="1"/>
    <row r="7" ht="12.75" customHeight="1">
      <c r="A7" s="51" t="s">
        <v>111</v>
      </c>
      <c r="F7" s="52" t="s">
        <v>112</v>
      </c>
    </row>
    <row r="8" ht="12.75" customHeight="1">
      <c r="A8" s="53" t="s">
        <v>113</v>
      </c>
      <c r="B8" s="54"/>
      <c r="C8" s="54"/>
      <c r="D8" s="54"/>
      <c r="E8" s="54"/>
      <c r="F8" s="54"/>
      <c r="G8" s="54"/>
      <c r="H8" s="54"/>
      <c r="I8" s="54"/>
      <c r="J8" s="54"/>
    </row>
    <row r="9" ht="12.75" customHeight="1">
      <c r="A9" s="53" t="s">
        <v>114</v>
      </c>
      <c r="B9" s="54"/>
      <c r="C9" s="54"/>
      <c r="D9" s="54"/>
      <c r="E9" s="54"/>
      <c r="F9" s="54"/>
      <c r="G9" s="54"/>
      <c r="H9" s="54"/>
      <c r="I9" s="54"/>
      <c r="J9" s="54"/>
    </row>
    <row r="10" ht="12.75" customHeight="1">
      <c r="A10" s="53" t="s">
        <v>115</v>
      </c>
      <c r="B10" s="54"/>
      <c r="C10" s="54"/>
      <c r="D10" s="54"/>
      <c r="E10" s="54"/>
      <c r="F10" s="54"/>
      <c r="G10" s="54"/>
      <c r="H10" s="54"/>
      <c r="I10" s="54"/>
      <c r="J10" s="54"/>
    </row>
    <row r="11" ht="12.75" customHeight="1">
      <c r="A11" s="53" t="s">
        <v>116</v>
      </c>
      <c r="B11" s="54"/>
      <c r="C11" s="54"/>
      <c r="D11" s="54"/>
      <c r="E11" s="54"/>
      <c r="F11" s="54"/>
      <c r="G11" s="54"/>
      <c r="H11" s="54"/>
      <c r="I11" s="54"/>
      <c r="J11" s="54"/>
    </row>
    <row r="12" ht="12.75" customHeight="1">
      <c r="A12" s="55" t="s">
        <v>117</v>
      </c>
    </row>
    <row r="13" ht="12.75" customHeight="1">
      <c r="A13" s="53" t="s">
        <v>118</v>
      </c>
      <c r="B13" s="54"/>
      <c r="C13" s="54"/>
      <c r="D13" s="54"/>
      <c r="E13" s="54"/>
      <c r="F13" s="54"/>
      <c r="G13" s="54"/>
      <c r="H13" s="54"/>
      <c r="I13" s="54"/>
      <c r="J13" s="54"/>
    </row>
    <row r="14" ht="12.75" customHeight="1">
      <c r="A14" s="55" t="s">
        <v>119</v>
      </c>
    </row>
    <row r="15" ht="12.75" customHeight="1">
      <c r="A15" s="56"/>
    </row>
    <row r="16" ht="12.75" customHeight="1">
      <c r="A16" s="51" t="s">
        <v>120</v>
      </c>
      <c r="F16" s="52" t="s">
        <v>112</v>
      </c>
    </row>
    <row r="17" ht="12.75" customHeight="1">
      <c r="A17" s="53" t="s">
        <v>121</v>
      </c>
      <c r="B17" s="54"/>
      <c r="C17" s="54"/>
      <c r="D17" s="54"/>
      <c r="E17" s="54"/>
      <c r="F17" s="54"/>
      <c r="G17" s="54"/>
      <c r="H17" s="54"/>
      <c r="I17" s="54"/>
      <c r="J17" s="54"/>
    </row>
    <row r="18" ht="12.75" customHeight="1">
      <c r="A18" s="53" t="s">
        <v>122</v>
      </c>
      <c r="B18" s="54"/>
      <c r="C18" s="54"/>
      <c r="D18" s="54"/>
      <c r="E18" s="54"/>
      <c r="F18" s="54"/>
      <c r="G18" s="54"/>
      <c r="H18" s="54"/>
      <c r="I18" s="54"/>
      <c r="J18" s="54"/>
    </row>
    <row r="19" ht="12.75" customHeight="1">
      <c r="A19" s="53" t="s">
        <v>123</v>
      </c>
      <c r="B19" s="54"/>
      <c r="C19" s="54"/>
      <c r="D19" s="54"/>
      <c r="E19" s="54"/>
      <c r="F19" s="54"/>
      <c r="G19" s="54"/>
      <c r="H19" s="54"/>
      <c r="I19" s="54"/>
      <c r="J19" s="54"/>
    </row>
    <row r="20" ht="12.75" customHeight="1">
      <c r="A20" s="53" t="s">
        <v>124</v>
      </c>
      <c r="B20" s="54"/>
      <c r="C20" s="54"/>
      <c r="D20" s="54"/>
      <c r="E20" s="54"/>
      <c r="F20" s="54"/>
      <c r="G20" s="54"/>
      <c r="H20" s="54"/>
      <c r="I20" s="54"/>
      <c r="J20" s="54"/>
    </row>
    <row r="21" ht="12.75" customHeight="1">
      <c r="A21" s="55" t="s">
        <v>125</v>
      </c>
    </row>
    <row r="22" ht="12.75" customHeight="1">
      <c r="A22" s="53" t="s">
        <v>126</v>
      </c>
      <c r="B22" s="54"/>
      <c r="C22" s="54"/>
      <c r="D22" s="54"/>
      <c r="E22" s="54"/>
      <c r="F22" s="54"/>
      <c r="G22" s="54"/>
      <c r="H22" s="54"/>
      <c r="I22" s="54"/>
      <c r="J22" s="54"/>
      <c r="K22" s="54"/>
      <c r="L22" s="54"/>
      <c r="M22" s="54"/>
    </row>
    <row r="23" ht="12.75" customHeight="1">
      <c r="A23" s="57"/>
    </row>
    <row r="24" ht="29.25" customHeight="1">
      <c r="A24" s="58" t="s">
        <v>127</v>
      </c>
    </row>
    <row r="25" ht="12.75" customHeight="1">
      <c r="A25" s="52" t="s">
        <v>128</v>
      </c>
    </row>
    <row r="26" ht="12.75" customHeight="1">
      <c r="A26" s="57" t="s">
        <v>129</v>
      </c>
      <c r="B26" s="46">
        <f>3+F5/4</f>
        <v>4.5</v>
      </c>
    </row>
    <row r="27" ht="12.75" customHeight="1">
      <c r="A27" s="57"/>
      <c r="F27" s="59" t="s">
        <v>130</v>
      </c>
      <c r="G27" s="60">
        <f>1-((SWR-1)/(SWR+1))^2</f>
        <v>0.5950413223</v>
      </c>
    </row>
    <row r="28" ht="12.75" customHeight="1">
      <c r="A28" s="51"/>
    </row>
    <row r="29" ht="28.5" customHeight="1">
      <c r="A29" s="58" t="s">
        <v>131</v>
      </c>
    </row>
    <row r="30" ht="12.75" customHeight="1">
      <c r="A30" s="52" t="s">
        <v>128</v>
      </c>
    </row>
    <row r="31" ht="12.75" customHeight="1">
      <c r="A31" s="61"/>
    </row>
    <row r="32" ht="12.75" customHeight="1">
      <c r="A32" s="62" t="s">
        <v>132</v>
      </c>
      <c r="B32" s="46">
        <f>0.2+F5/20</f>
        <v>0.5</v>
      </c>
      <c r="F32" s="63" t="s">
        <v>130</v>
      </c>
      <c r="G32" s="60">
        <f>1-(1-I_Dc)/(1+I_Dc)</f>
        <v>0.6666666667</v>
      </c>
    </row>
    <row r="33" ht="12.75" customHeight="1">
      <c r="A33" s="61" t="s">
        <v>133</v>
      </c>
    </row>
    <row r="34" ht="12.75" customHeight="1">
      <c r="A34" s="61"/>
    </row>
    <row r="35" ht="30.75" customHeight="1">
      <c r="A35" s="58" t="s">
        <v>134</v>
      </c>
    </row>
    <row r="36" ht="12.75" customHeight="1">
      <c r="A36" s="52" t="s">
        <v>128</v>
      </c>
    </row>
    <row r="37" ht="12.75" customHeight="1">
      <c r="A37" s="61" t="s">
        <v>135</v>
      </c>
      <c r="D37" s="46">
        <f>3+E5/4</f>
        <v>4.25</v>
      </c>
      <c r="E37" s="62" t="s">
        <v>136</v>
      </c>
      <c r="F37" s="62" t="s">
        <v>137</v>
      </c>
      <c r="H37" s="60">
        <f>1/10^(DLri/10)</f>
        <v>0.3758374043</v>
      </c>
    </row>
    <row r="38" ht="12.75" customHeight="1"/>
    <row r="39" ht="30.75" customHeight="1">
      <c r="A39" s="58" t="s">
        <v>138</v>
      </c>
    </row>
    <row r="40" ht="12.75" customHeight="1">
      <c r="A40" s="52" t="s">
        <v>128</v>
      </c>
    </row>
    <row r="41" ht="12.75" customHeight="1">
      <c r="A41" s="52" t="s">
        <v>139</v>
      </c>
      <c r="B41" s="46">
        <f>0.5+F5/10</f>
        <v>1.1</v>
      </c>
      <c r="C41" s="62" t="s">
        <v>140</v>
      </c>
      <c r="D41" s="62" t="s">
        <v>141</v>
      </c>
      <c r="E41" s="46">
        <v>340.0</v>
      </c>
      <c r="F41" s="62" t="s">
        <v>142</v>
      </c>
    </row>
    <row r="42" ht="12.75" customHeight="1">
      <c r="A42" s="61" t="s">
        <v>143</v>
      </c>
      <c r="B42" s="46">
        <v>125.0</v>
      </c>
      <c r="C42" s="46">
        <v>250.0</v>
      </c>
      <c r="D42" s="46">
        <v>500.0</v>
      </c>
      <c r="E42" s="46">
        <v>1000.0</v>
      </c>
      <c r="F42" s="46">
        <v>2000.0</v>
      </c>
      <c r="G42" s="46">
        <v>4000.0</v>
      </c>
      <c r="H42" s="62" t="s">
        <v>144</v>
      </c>
    </row>
    <row r="43" ht="12.75" customHeight="1">
      <c r="A43" s="64" t="s">
        <v>145</v>
      </c>
      <c r="B43" s="46">
        <v>100.0</v>
      </c>
      <c r="C43" s="46">
        <v>100.0</v>
      </c>
      <c r="D43" s="46">
        <v>100.0</v>
      </c>
      <c r="E43" s="46">
        <v>100.0</v>
      </c>
      <c r="F43" s="46">
        <v>100.0</v>
      </c>
      <c r="G43" s="46">
        <v>100.0</v>
      </c>
    </row>
    <row r="44" ht="12.75" customHeight="1">
      <c r="A44" s="64" t="s">
        <v>146</v>
      </c>
      <c r="B44" s="46">
        <v>-16.1</v>
      </c>
      <c r="C44" s="46">
        <v>-8.6</v>
      </c>
      <c r="D44" s="46">
        <v>-3.2</v>
      </c>
      <c r="E44" s="46">
        <v>0.0</v>
      </c>
      <c r="F44" s="46">
        <v>1.2</v>
      </c>
      <c r="G44" s="46">
        <v>1.0</v>
      </c>
    </row>
    <row r="45" ht="12.75" customHeight="1">
      <c r="A45" s="64" t="s">
        <v>147</v>
      </c>
      <c r="B45" s="46">
        <f t="shared" ref="B45:G45" si="1">B43+B44</f>
        <v>83.9</v>
      </c>
      <c r="C45" s="46">
        <f t="shared" si="1"/>
        <v>91.4</v>
      </c>
      <c r="D45" s="46">
        <f t="shared" si="1"/>
        <v>96.8</v>
      </c>
      <c r="E45" s="46">
        <f t="shared" si="1"/>
        <v>100</v>
      </c>
      <c r="F45" s="46">
        <f t="shared" si="1"/>
        <v>101.2</v>
      </c>
      <c r="G45" s="46">
        <f t="shared" si="1"/>
        <v>101</v>
      </c>
      <c r="H45" s="65">
        <f>10*LOG10(H46)</f>
        <v>106.2514753</v>
      </c>
    </row>
    <row r="46" ht="12.75" customHeight="1">
      <c r="A46" s="64" t="s">
        <v>148</v>
      </c>
      <c r="B46" s="46">
        <f t="shared" ref="B46:G46" si="2">10^(B45/10)</f>
        <v>245470891.6</v>
      </c>
      <c r="C46" s="46">
        <f t="shared" si="2"/>
        <v>1380384265</v>
      </c>
      <c r="D46" s="46">
        <f t="shared" si="2"/>
        <v>4786300923</v>
      </c>
      <c r="E46" s="46">
        <f t="shared" si="2"/>
        <v>10000000000</v>
      </c>
      <c r="F46" s="46">
        <f t="shared" si="2"/>
        <v>13182567386</v>
      </c>
      <c r="G46" s="46">
        <f t="shared" si="2"/>
        <v>12589254118</v>
      </c>
      <c r="H46" s="46">
        <f>SUM(B46:G46)</f>
        <v>42183977583</v>
      </c>
    </row>
    <row r="47" ht="12.75" customHeight="1">
      <c r="A47" s="61" t="s">
        <v>149</v>
      </c>
      <c r="B47" s="46">
        <f>2*Delta*B42/c_0</f>
        <v>0.8088235294</v>
      </c>
      <c r="C47" s="46">
        <f>2*Delta*C42/c_0</f>
        <v>1.617647059</v>
      </c>
      <c r="D47" s="46">
        <f>2*Delta*D42/c_0</f>
        <v>3.235294118</v>
      </c>
      <c r="E47" s="46">
        <f>2*Delta*E42/c_0</f>
        <v>6.470588235</v>
      </c>
      <c r="F47" s="46">
        <f>2*Delta*F42/c_0</f>
        <v>12.94117647</v>
      </c>
      <c r="G47" s="46">
        <f>2*Delta*G42/c_0</f>
        <v>25.88235294</v>
      </c>
    </row>
    <row r="48" ht="12.75" customHeight="1">
      <c r="A48" s="61" t="s">
        <v>150</v>
      </c>
      <c r="B48" s="46">
        <f t="shared" ref="B48:G48" si="3">10*LOG10(3+20*B47)</f>
        <v>12.82768679</v>
      </c>
      <c r="C48" s="46">
        <f t="shared" si="3"/>
        <v>15.48425551</v>
      </c>
      <c r="D48" s="46">
        <f t="shared" si="3"/>
        <v>18.30626402</v>
      </c>
      <c r="E48" s="46">
        <f t="shared" si="3"/>
        <v>21.21926574</v>
      </c>
      <c r="F48" s="46">
        <f t="shared" si="3"/>
        <v>24.18008673</v>
      </c>
      <c r="G48" s="46">
        <f t="shared" si="3"/>
        <v>27.16543419</v>
      </c>
      <c r="J48" s="61" t="s">
        <v>133</v>
      </c>
    </row>
    <row r="49" ht="12.75" customHeight="1">
      <c r="A49" s="64" t="s">
        <v>151</v>
      </c>
      <c r="B49" s="46">
        <f t="shared" ref="B49:G49" si="4">B45-B48</f>
        <v>71.07231321</v>
      </c>
      <c r="C49" s="46">
        <f t="shared" si="4"/>
        <v>75.91574449</v>
      </c>
      <c r="D49" s="46">
        <f t="shared" si="4"/>
        <v>78.49373598</v>
      </c>
      <c r="E49" s="46">
        <f t="shared" si="4"/>
        <v>78.78073426</v>
      </c>
      <c r="F49" s="46">
        <f t="shared" si="4"/>
        <v>77.01991327</v>
      </c>
      <c r="G49" s="46">
        <f t="shared" si="4"/>
        <v>73.83456581</v>
      </c>
      <c r="H49" s="65">
        <f>10*LOG10(H50)</f>
        <v>84.35509989</v>
      </c>
    </row>
    <row r="50" ht="12.75" customHeight="1">
      <c r="A50" s="64" t="s">
        <v>152</v>
      </c>
      <c r="B50" s="46">
        <f t="shared" ref="B50:G50" si="5">10^(B49/10)</f>
        <v>12800629.31</v>
      </c>
      <c r="C50" s="46">
        <f t="shared" si="5"/>
        <v>39045811.15</v>
      </c>
      <c r="D50" s="46">
        <f t="shared" si="5"/>
        <v>70692541.87</v>
      </c>
      <c r="E50" s="46">
        <f t="shared" si="5"/>
        <v>75521990.23</v>
      </c>
      <c r="F50" s="46">
        <f t="shared" si="5"/>
        <v>50349055.39</v>
      </c>
      <c r="G50" s="46">
        <f t="shared" si="5"/>
        <v>24180015.82</v>
      </c>
      <c r="H50" s="46">
        <f>SUM(B50:G50)</f>
        <v>272590043.8</v>
      </c>
    </row>
    <row r="51" ht="12.75" customHeight="1">
      <c r="A51" s="64"/>
      <c r="G51" s="63" t="s">
        <v>153</v>
      </c>
      <c r="H51" s="66">
        <f>H45-H49</f>
        <v>21.89637538</v>
      </c>
      <c r="I51" s="67" t="s">
        <v>28</v>
      </c>
    </row>
    <row r="52" ht="12.75" customHeight="1">
      <c r="A52" s="64"/>
    </row>
    <row r="53" ht="16.5" customHeight="1">
      <c r="A53" s="58" t="s">
        <v>154</v>
      </c>
    </row>
    <row r="54" ht="12.75" customHeight="1"/>
    <row r="55" ht="12.75" customHeight="1">
      <c r="A55" s="61" t="s">
        <v>128</v>
      </c>
    </row>
    <row r="56" ht="12.75" customHeight="1">
      <c r="A56" s="68" t="s">
        <v>133</v>
      </c>
    </row>
    <row r="57" ht="12.75" customHeight="1">
      <c r="A57" s="61" t="s">
        <v>155</v>
      </c>
      <c r="B57" s="62" t="s">
        <v>156</v>
      </c>
      <c r="C57" s="62" t="s">
        <v>157</v>
      </c>
    </row>
    <row r="58" ht="12.75" customHeight="1">
      <c r="A58" s="46">
        <v>1.0</v>
      </c>
      <c r="B58" s="46">
        <f>80+C5/2</f>
        <v>81.5</v>
      </c>
      <c r="C58" s="46">
        <f t="shared" ref="C58:C67" si="6">10^(B58/10)</f>
        <v>141253754.5</v>
      </c>
    </row>
    <row r="59" ht="12.75" customHeight="1">
      <c r="A59" s="46">
        <v>2.0</v>
      </c>
      <c r="B59" s="46">
        <f>B58</f>
        <v>81.5</v>
      </c>
      <c r="C59" s="46">
        <f t="shared" si="6"/>
        <v>141253754.5</v>
      </c>
    </row>
    <row r="60" ht="12.75" customHeight="1">
      <c r="A60" s="46">
        <v>3.0</v>
      </c>
      <c r="B60" s="46">
        <f>75+D5/2</f>
        <v>77</v>
      </c>
      <c r="C60" s="46">
        <f t="shared" si="6"/>
        <v>50118723.36</v>
      </c>
    </row>
    <row r="61" ht="12.75" customHeight="1">
      <c r="A61" s="46">
        <v>4.0</v>
      </c>
      <c r="B61" s="46">
        <f>70+E5</f>
        <v>75</v>
      </c>
      <c r="C61" s="46">
        <f t="shared" si="6"/>
        <v>31622776.6</v>
      </c>
    </row>
    <row r="62" ht="12.75" customHeight="1">
      <c r="A62" s="46">
        <v>5.0</v>
      </c>
      <c r="B62" s="46">
        <f>70+E5</f>
        <v>75</v>
      </c>
      <c r="C62" s="46">
        <f t="shared" si="6"/>
        <v>31622776.6</v>
      </c>
    </row>
    <row r="63" ht="12.75" customHeight="1">
      <c r="A63" s="46">
        <v>6.0</v>
      </c>
      <c r="B63" s="46">
        <f>70+E5</f>
        <v>75</v>
      </c>
      <c r="C63" s="46">
        <f t="shared" si="6"/>
        <v>31622776.6</v>
      </c>
    </row>
    <row r="64" ht="12.75" customHeight="1">
      <c r="A64" s="46">
        <v>7.0</v>
      </c>
      <c r="B64" s="46">
        <f>73+F5</f>
        <v>79</v>
      </c>
      <c r="C64" s="46">
        <f t="shared" si="6"/>
        <v>79432823.47</v>
      </c>
    </row>
    <row r="65" ht="12.75" customHeight="1">
      <c r="A65" s="46">
        <v>8.0</v>
      </c>
      <c r="B65" s="62">
        <f t="shared" ref="B65:B67" si="7">B64</f>
        <v>79</v>
      </c>
      <c r="C65" s="46">
        <f t="shared" si="6"/>
        <v>79432823.47</v>
      </c>
    </row>
    <row r="66" ht="12.75" customHeight="1">
      <c r="A66" s="46">
        <v>9.0</v>
      </c>
      <c r="B66" s="62">
        <f t="shared" si="7"/>
        <v>79</v>
      </c>
      <c r="C66" s="46">
        <f t="shared" si="6"/>
        <v>79432823.47</v>
      </c>
    </row>
    <row r="67" ht="12.75" customHeight="1">
      <c r="A67" s="46">
        <v>10.0</v>
      </c>
      <c r="B67" s="62">
        <f t="shared" si="7"/>
        <v>79</v>
      </c>
      <c r="C67" s="46">
        <f t="shared" si="6"/>
        <v>79432823.47</v>
      </c>
    </row>
    <row r="68" ht="12.75" customHeight="1">
      <c r="B68" s="63" t="s">
        <v>158</v>
      </c>
      <c r="C68" s="46">
        <f>AVERAGE(C58:C67)</f>
        <v>74522585.6</v>
      </c>
    </row>
    <row r="69" ht="12.75" customHeight="1">
      <c r="B69" s="62" t="s">
        <v>159</v>
      </c>
      <c r="C69" s="46">
        <f>10*LOG10(C68)</f>
        <v>78.72287915</v>
      </c>
    </row>
    <row r="70" ht="12.75" customHeight="1">
      <c r="B70" s="62" t="s">
        <v>160</v>
      </c>
      <c r="C70" s="46">
        <v>10.0</v>
      </c>
      <c r="D70" s="62" t="s">
        <v>161</v>
      </c>
      <c r="E70" s="46">
        <f>C70*3600</f>
        <v>36000</v>
      </c>
      <c r="F70" s="62" t="s">
        <v>162</v>
      </c>
    </row>
    <row r="71" ht="12.75" customHeight="1">
      <c r="B71" s="63" t="s">
        <v>163</v>
      </c>
      <c r="C71" s="69">
        <f>C69+10*LOG10(T)</f>
        <v>124.2859042</v>
      </c>
      <c r="D71" s="67" t="s">
        <v>28</v>
      </c>
    </row>
    <row r="72" ht="12.75" customHeight="1"/>
    <row r="73" ht="12.75" customHeight="1"/>
    <row r="74" ht="12.75" customHeight="1"/>
    <row r="75" ht="12.75" customHeight="1"/>
    <row r="76" ht="12.75" customHeight="1"/>
    <row r="77" ht="12.75" customHeight="1"/>
    <row r="78" ht="12.75" customHeight="1"/>
    <row r="79" ht="12.75" customHeight="1"/>
    <row r="80" ht="12.75" customHeight="1"/>
    <row r="81" ht="12.75" customHeight="1"/>
    <row r="82" ht="12.75" customHeight="1"/>
    <row r="83" ht="12.75" customHeight="1"/>
    <row r="84" ht="12.75" customHeight="1"/>
    <row r="85" ht="12.75" customHeight="1"/>
    <row r="86" ht="12.75" customHeight="1"/>
    <row r="87" ht="12.75" customHeight="1"/>
    <row r="88" ht="12.75" customHeight="1"/>
    <row r="89" ht="12.75" customHeight="1"/>
    <row r="90" ht="12.75" customHeight="1"/>
    <row r="91" ht="12.75" customHeight="1"/>
    <row r="92" ht="12.75" customHeight="1"/>
    <row r="93" ht="12.75" customHeight="1"/>
    <row r="94" ht="12.75" customHeight="1"/>
    <row r="95" ht="12.75" customHeight="1"/>
    <row r="96"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row r="131" ht="12.75" customHeight="1"/>
    <row r="132" ht="12.75" customHeight="1"/>
    <row r="133" ht="12.75" customHeight="1"/>
    <row r="134" ht="12.75" customHeight="1"/>
    <row r="135" ht="12.75" customHeight="1"/>
    <row r="136" ht="12.75" customHeight="1"/>
    <row r="137" ht="12.75" customHeight="1"/>
    <row r="138" ht="12.75" customHeight="1"/>
    <row r="139" ht="12.75" customHeight="1"/>
    <row r="140" ht="12.75" customHeight="1"/>
    <row r="141" ht="12.75" customHeight="1"/>
    <row r="142" ht="12.75" customHeight="1"/>
    <row r="143" ht="12.75" customHeight="1"/>
    <row r="144" ht="12.75" customHeight="1"/>
    <row r="145" ht="12.75" customHeight="1"/>
    <row r="146" ht="12.75" customHeight="1"/>
    <row r="147" ht="12.75" customHeight="1"/>
    <row r="148" ht="12.75" customHeight="1"/>
    <row r="149" ht="12.75" customHeight="1"/>
    <row r="150" ht="12.75" customHeight="1"/>
    <row r="151" ht="12.75" customHeight="1"/>
    <row r="152" ht="12.75" customHeight="1"/>
    <row r="153" ht="12.75" customHeight="1"/>
    <row r="154" ht="12.75" customHeight="1"/>
    <row r="155" ht="12.75" customHeight="1"/>
    <row r="156" ht="12.75" customHeight="1"/>
    <row r="157" ht="12.75" customHeight="1"/>
    <row r="158" ht="12.75" customHeight="1"/>
    <row r="159" ht="12.75" customHeight="1"/>
    <row r="160" ht="12.75" customHeight="1"/>
    <row r="161" ht="12.75" customHeight="1"/>
    <row r="162" ht="12.75" customHeight="1"/>
    <row r="163" ht="12.75" customHeight="1"/>
    <row r="164" ht="12.75" customHeight="1"/>
    <row r="165" ht="12.75" customHeight="1"/>
    <row r="166" ht="12.75" customHeight="1"/>
    <row r="167" ht="12.75" customHeight="1"/>
    <row r="168" ht="12.75" customHeight="1"/>
    <row r="169" ht="12.75" customHeight="1"/>
    <row r="170" ht="12.75" customHeight="1"/>
    <row r="171" ht="12.75" customHeight="1"/>
    <row r="172" ht="12.75" customHeight="1"/>
    <row r="173" ht="12.75" customHeight="1"/>
    <row r="174" ht="12.75" customHeight="1"/>
    <row r="175" ht="12.75" customHeight="1"/>
    <row r="176" ht="12.75" customHeight="1"/>
    <row r="177" ht="12.75" customHeight="1"/>
    <row r="178" ht="12.75" customHeight="1"/>
    <row r="179" ht="12.75" customHeight="1"/>
    <row r="180" ht="12.75" customHeight="1"/>
    <row r="181" ht="12.75" customHeight="1"/>
    <row r="182" ht="12.75" customHeight="1"/>
    <row r="183" ht="12.75" customHeight="1"/>
    <row r="184" ht="12.75" customHeight="1"/>
    <row r="185" ht="12.75" customHeight="1"/>
    <row r="186" ht="12.75" customHeight="1"/>
    <row r="187" ht="12.75" customHeight="1"/>
    <row r="188" ht="12.75" customHeight="1"/>
    <row r="189" ht="12.75" customHeight="1"/>
    <row r="190" ht="12.75" customHeight="1"/>
    <row r="191" ht="12.75" customHeight="1"/>
    <row r="192" ht="12.75" customHeight="1"/>
    <row r="193" ht="12.75" customHeight="1"/>
    <row r="194" ht="12.75" customHeight="1"/>
    <row r="195" ht="12.75" customHeight="1"/>
    <row r="196" ht="12.75" customHeight="1"/>
    <row r="197" ht="12.75" customHeight="1"/>
    <row r="198" ht="12.75" customHeight="1"/>
    <row r="199" ht="12.75" customHeight="1"/>
    <row r="200" ht="12.75" customHeight="1"/>
    <row r="201" ht="12.75" customHeight="1"/>
    <row r="202" ht="12.75" customHeight="1"/>
    <row r="203" ht="12.75" customHeight="1"/>
    <row r="204" ht="12.75" customHeight="1"/>
    <row r="205" ht="12.75" customHeight="1"/>
    <row r="206" ht="12.75" customHeight="1"/>
    <row r="207" ht="12.75" customHeight="1"/>
    <row r="208" ht="12.75" customHeight="1"/>
    <row r="209" ht="12.75" customHeight="1"/>
    <row r="210" ht="12.75" customHeight="1"/>
    <row r="211" ht="12.75" customHeight="1"/>
    <row r="212" ht="12.75" customHeight="1"/>
    <row r="213" ht="12.75" customHeight="1"/>
    <row r="214" ht="12.75" customHeight="1"/>
    <row r="215" ht="12.75" customHeight="1"/>
    <row r="216" ht="12.75" customHeight="1"/>
    <row r="217" ht="12.75" customHeight="1"/>
    <row r="218" ht="12.75" customHeight="1"/>
    <row r="219" ht="12.75" customHeight="1"/>
    <row r="220" ht="12.75" customHeight="1"/>
    <row r="221" ht="12.75" customHeight="1"/>
    <row r="222" ht="12.75" customHeight="1"/>
    <row r="223" ht="12.75" customHeight="1"/>
    <row r="224" ht="12.75" customHeight="1"/>
    <row r="225" ht="12.75" customHeight="1"/>
    <row r="226" ht="12.75" customHeight="1"/>
    <row r="227" ht="12.75" customHeight="1"/>
    <row r="228" ht="12.75" customHeight="1"/>
    <row r="229" ht="12.75" customHeight="1"/>
    <row r="230" ht="12.75" customHeight="1"/>
    <row r="231" ht="12.75" customHeight="1"/>
    <row r="232" ht="12.75" customHeight="1"/>
    <row r="233" ht="12.75" customHeight="1"/>
    <row r="234" ht="12.75" customHeight="1"/>
    <row r="235" ht="12.75" customHeight="1"/>
    <row r="236" ht="12.75" customHeight="1"/>
    <row r="237" ht="12.75" customHeight="1"/>
    <row r="238" ht="12.75" customHeight="1"/>
    <row r="239" ht="12.75" customHeight="1"/>
    <row r="240" ht="12.75" customHeight="1"/>
    <row r="241" ht="12.75" customHeight="1"/>
    <row r="242" ht="12.75" customHeight="1"/>
    <row r="243" ht="12.75" customHeight="1"/>
    <row r="244" ht="12.75" customHeight="1"/>
    <row r="245" ht="12.75" customHeight="1"/>
    <row r="246" ht="12.75" customHeight="1"/>
    <row r="247" ht="12.75" customHeight="1"/>
    <row r="248" ht="12.75" customHeight="1"/>
    <row r="249" ht="12.75" customHeight="1"/>
    <row r="250" ht="12.75" customHeight="1"/>
    <row r="251" ht="12.75" customHeight="1"/>
    <row r="252" ht="12.75" customHeight="1"/>
    <row r="253" ht="12.75" customHeight="1"/>
    <row r="254" ht="12.75" customHeight="1"/>
    <row r="255" ht="12.75" customHeight="1"/>
    <row r="256" ht="12.75" customHeight="1"/>
    <row r="257" ht="12.75" customHeight="1"/>
    <row r="258" ht="12.75" customHeight="1"/>
    <row r="259" ht="12.75" customHeight="1"/>
    <row r="260" ht="12.75" customHeight="1"/>
    <row r="261" ht="12.75" customHeight="1"/>
    <row r="262" ht="12.75" customHeight="1"/>
    <row r="263" ht="12.75" customHeight="1"/>
    <row r="264" ht="12.75" customHeight="1"/>
    <row r="265" ht="12.75" customHeight="1"/>
    <row r="266" ht="12.75" customHeight="1"/>
    <row r="267" ht="12.75" customHeight="1"/>
    <row r="268" ht="12.75" customHeight="1"/>
    <row r="269" ht="12.75" customHeight="1"/>
    <row r="270" ht="12.75" customHeight="1"/>
    <row r="271" ht="12.75" customHeight="1"/>
    <row r="272" ht="12.75" customHeight="1"/>
    <row r="273" ht="12.75" customHeight="1"/>
    <row r="274" ht="12.75" customHeight="1"/>
    <row r="275" ht="12.75" customHeight="1"/>
    <row r="276" ht="12.75" customHeight="1"/>
    <row r="277" ht="12.75" customHeight="1"/>
    <row r="278" ht="12.75" customHeight="1"/>
    <row r="279" ht="12.75" customHeight="1"/>
    <row r="280" ht="12.75" customHeight="1"/>
    <row r="281" ht="12.75" customHeight="1"/>
    <row r="282" ht="12.75" customHeight="1"/>
    <row r="283" ht="12.75" customHeight="1"/>
    <row r="284" ht="12.75" customHeight="1"/>
    <row r="285" ht="12.75" customHeight="1"/>
    <row r="286" ht="12.75" customHeight="1"/>
    <row r="287" ht="12.75" customHeight="1"/>
    <row r="288" ht="12.75" customHeight="1"/>
    <row r="289" ht="12.75" customHeight="1"/>
    <row r="290" ht="12.75" customHeight="1"/>
    <row r="291" ht="12.75" customHeight="1"/>
    <row r="292" ht="12.75" customHeight="1"/>
    <row r="293" ht="12.75" customHeight="1"/>
    <row r="294" ht="12.75" customHeight="1"/>
    <row r="295" ht="12.75" customHeight="1"/>
    <row r="296" ht="12.75" customHeight="1"/>
    <row r="297" ht="12.75" customHeight="1"/>
    <row r="298" ht="12.75" customHeight="1"/>
    <row r="299" ht="12.75" customHeight="1"/>
    <row r="300" ht="12.75" customHeight="1"/>
    <row r="301" ht="12.75" customHeight="1"/>
    <row r="302" ht="12.75" customHeight="1"/>
    <row r="303" ht="12.75" customHeight="1"/>
    <row r="304" ht="12.75" customHeight="1"/>
    <row r="305" ht="12.75" customHeight="1"/>
    <row r="306" ht="12.75" customHeight="1"/>
    <row r="307" ht="12.75" customHeight="1"/>
    <row r="308" ht="12.75" customHeight="1"/>
    <row r="309" ht="12.75" customHeight="1"/>
    <row r="310" ht="12.75" customHeight="1"/>
    <row r="311" ht="12.75" customHeight="1"/>
    <row r="312" ht="12.75" customHeight="1"/>
    <row r="313" ht="12.75" customHeight="1"/>
    <row r="314" ht="12.75" customHeight="1"/>
    <row r="315" ht="12.75" customHeight="1"/>
    <row r="316" ht="12.75" customHeight="1"/>
    <row r="317" ht="12.75" customHeight="1"/>
    <row r="318" ht="12.75" customHeight="1"/>
    <row r="319" ht="12.75" customHeight="1"/>
    <row r="320" ht="12.75" customHeight="1"/>
    <row r="321" ht="12.75" customHeight="1"/>
    <row r="322" ht="12.75" customHeight="1"/>
    <row r="323" ht="12.75" customHeight="1"/>
    <row r="324" ht="12.75" customHeight="1"/>
    <row r="325" ht="12.75" customHeight="1"/>
    <row r="326" ht="12.75" customHeight="1"/>
    <row r="327" ht="12.75" customHeight="1"/>
    <row r="328" ht="12.75" customHeight="1"/>
    <row r="329" ht="12.75" customHeight="1"/>
    <row r="330" ht="12.75" customHeight="1"/>
    <row r="331" ht="12.75" customHeight="1"/>
    <row r="332" ht="12.75" customHeight="1"/>
    <row r="333" ht="12.75" customHeight="1"/>
    <row r="334" ht="12.75" customHeight="1"/>
    <row r="335" ht="12.75" customHeight="1"/>
    <row r="336" ht="12.75" customHeight="1"/>
    <row r="337" ht="12.75" customHeight="1"/>
    <row r="338" ht="12.75" customHeight="1"/>
    <row r="339" ht="12.75" customHeight="1"/>
    <row r="340" ht="12.75" customHeight="1"/>
    <row r="341" ht="12.75" customHeight="1"/>
    <row r="342" ht="12.75" customHeight="1"/>
    <row r="343" ht="12.75" customHeight="1"/>
    <row r="344" ht="12.75" customHeight="1"/>
    <row r="345" ht="12.75" customHeight="1"/>
    <row r="346" ht="12.75" customHeight="1"/>
    <row r="347" ht="12.75" customHeight="1"/>
    <row r="348" ht="12.75" customHeight="1"/>
    <row r="349" ht="12.75" customHeight="1"/>
    <row r="350" ht="12.75" customHeight="1"/>
    <row r="351" ht="12.75" customHeight="1"/>
    <row r="352" ht="12.75" customHeight="1"/>
    <row r="353" ht="12.75" customHeight="1"/>
    <row r="354" ht="12.75" customHeight="1"/>
    <row r="355" ht="12.75" customHeight="1"/>
    <row r="356" ht="12.75" customHeight="1"/>
    <row r="357" ht="12.75" customHeight="1"/>
    <row r="358" ht="12.75" customHeight="1"/>
    <row r="359" ht="12.75" customHeight="1"/>
    <row r="360" ht="12.75" customHeight="1"/>
    <row r="361" ht="12.75" customHeight="1"/>
    <row r="362" ht="12.75" customHeight="1"/>
    <row r="363" ht="12.75" customHeight="1"/>
    <row r="364" ht="12.75" customHeight="1"/>
    <row r="365" ht="12.75" customHeight="1"/>
    <row r="366" ht="12.75" customHeight="1"/>
    <row r="367" ht="12.75" customHeight="1"/>
    <row r="368" ht="12.75" customHeight="1"/>
    <row r="369" ht="12.75" customHeight="1"/>
    <row r="370" ht="12.75" customHeight="1"/>
    <row r="371" ht="12.75" customHeight="1"/>
    <row r="372" ht="12.75" customHeight="1"/>
    <row r="373" ht="12.75" customHeight="1"/>
    <row r="374" ht="12.75" customHeight="1"/>
    <row r="375" ht="12.75" customHeight="1"/>
    <row r="376" ht="12.75" customHeight="1"/>
    <row r="377" ht="12.75" customHeight="1"/>
    <row r="378" ht="12.75" customHeight="1"/>
    <row r="379" ht="12.75" customHeight="1"/>
    <row r="380" ht="12.75" customHeight="1"/>
    <row r="381" ht="12.75" customHeight="1"/>
    <row r="382" ht="12.75" customHeight="1"/>
    <row r="383" ht="12.75" customHeight="1"/>
    <row r="384" ht="12.75" customHeight="1"/>
    <row r="385" ht="12.75" customHeight="1"/>
    <row r="386" ht="12.75" customHeight="1"/>
    <row r="387" ht="12.75" customHeight="1"/>
    <row r="388" ht="12.75" customHeight="1"/>
    <row r="389" ht="12.75" customHeight="1"/>
    <row r="390" ht="12.75" customHeight="1"/>
    <row r="391" ht="12.75" customHeight="1"/>
    <row r="392" ht="12.75" customHeight="1"/>
    <row r="393" ht="12.75" customHeight="1"/>
    <row r="394" ht="12.75" customHeight="1"/>
    <row r="395" ht="12.75" customHeight="1"/>
    <row r="396" ht="12.75" customHeight="1"/>
    <row r="397" ht="12.75" customHeight="1"/>
    <row r="398" ht="12.75" customHeight="1"/>
    <row r="399" ht="12.75" customHeight="1"/>
    <row r="400" ht="12.75" customHeight="1"/>
    <row r="401" ht="12.75" customHeight="1"/>
    <row r="402" ht="12.75" customHeight="1"/>
    <row r="403" ht="12.75" customHeight="1"/>
    <row r="404" ht="12.75" customHeight="1"/>
    <row r="405" ht="12.75" customHeight="1"/>
    <row r="406" ht="12.75" customHeight="1"/>
    <row r="407" ht="12.75" customHeight="1"/>
    <row r="408" ht="12.75" customHeight="1"/>
    <row r="409" ht="12.75" customHeight="1"/>
    <row r="410" ht="12.75" customHeight="1"/>
    <row r="411" ht="12.75" customHeight="1"/>
    <row r="412" ht="12.75" customHeight="1"/>
    <row r="413" ht="12.75" customHeight="1"/>
    <row r="414" ht="12.75" customHeight="1"/>
    <row r="415" ht="12.75" customHeight="1"/>
    <row r="416" ht="12.75" customHeight="1"/>
    <row r="417" ht="12.75" customHeight="1"/>
    <row r="418" ht="12.75" customHeight="1"/>
    <row r="419" ht="12.75" customHeight="1"/>
    <row r="420" ht="12.75" customHeight="1"/>
    <row r="421" ht="12.75" customHeight="1"/>
    <row r="422" ht="12.75" customHeight="1"/>
    <row r="423" ht="12.75" customHeight="1"/>
    <row r="424" ht="12.75" customHeight="1"/>
    <row r="425" ht="12.75" customHeight="1"/>
    <row r="426" ht="12.75" customHeight="1"/>
    <row r="427" ht="12.75" customHeight="1"/>
    <row r="428" ht="12.75" customHeight="1"/>
    <row r="429" ht="12.75" customHeight="1"/>
    <row r="430" ht="12.75" customHeight="1"/>
    <row r="431" ht="12.75" customHeight="1"/>
    <row r="432" ht="12.75" customHeight="1"/>
    <row r="433" ht="12.75" customHeight="1"/>
    <row r="434" ht="12.75" customHeight="1"/>
    <row r="435" ht="12.75" customHeight="1"/>
    <row r="436" ht="12.75" customHeight="1"/>
    <row r="437" ht="12.75" customHeight="1"/>
    <row r="438" ht="12.75" customHeight="1"/>
    <row r="439" ht="12.75" customHeight="1"/>
    <row r="440" ht="12.75" customHeight="1"/>
    <row r="441" ht="12.75" customHeight="1"/>
    <row r="442" ht="12.75" customHeight="1"/>
    <row r="443" ht="12.75" customHeight="1"/>
    <row r="444" ht="12.75" customHeight="1"/>
    <row r="445" ht="12.75" customHeight="1"/>
    <row r="446" ht="12.75" customHeight="1"/>
    <row r="447" ht="12.75" customHeight="1"/>
    <row r="448" ht="12.75" customHeight="1"/>
    <row r="449" ht="12.75" customHeight="1"/>
    <row r="450" ht="12.75" customHeight="1"/>
    <row r="451" ht="12.75" customHeight="1"/>
    <row r="452" ht="12.75" customHeight="1"/>
    <row r="453" ht="12.75" customHeight="1"/>
    <row r="454" ht="12.75" customHeight="1"/>
    <row r="455" ht="12.75" customHeight="1"/>
    <row r="456" ht="12.75" customHeight="1"/>
    <row r="457" ht="12.75" customHeight="1"/>
    <row r="458" ht="12.75" customHeight="1"/>
    <row r="459" ht="12.75" customHeight="1"/>
    <row r="460" ht="12.75" customHeight="1"/>
    <row r="461" ht="12.75" customHeight="1"/>
    <row r="462" ht="12.75" customHeight="1"/>
    <row r="463" ht="12.75" customHeight="1"/>
    <row r="464" ht="12.75" customHeight="1"/>
    <row r="465" ht="12.75" customHeight="1"/>
    <row r="466" ht="12.75" customHeight="1"/>
    <row r="467" ht="12.75" customHeight="1"/>
    <row r="468" ht="12.75" customHeight="1"/>
    <row r="469" ht="12.75" customHeight="1"/>
    <row r="470" ht="12.75" customHeight="1"/>
    <row r="471" ht="12.75" customHeight="1"/>
    <row r="472" ht="12.75" customHeight="1"/>
    <row r="473" ht="12.75" customHeight="1"/>
    <row r="474" ht="12.75" customHeight="1"/>
    <row r="475" ht="12.75" customHeight="1"/>
    <row r="476" ht="12.75" customHeight="1"/>
    <row r="477" ht="12.75" customHeight="1"/>
    <row r="478" ht="12.75" customHeight="1"/>
    <row r="479" ht="12.75" customHeight="1"/>
    <row r="480" ht="12.75" customHeight="1"/>
    <row r="481" ht="12.75" customHeight="1"/>
    <row r="482" ht="12.75" customHeight="1"/>
    <row r="483" ht="12.75" customHeight="1"/>
    <row r="484" ht="12.75" customHeight="1"/>
    <row r="485" ht="12.75" customHeight="1"/>
    <row r="486" ht="12.75" customHeight="1"/>
    <row r="487" ht="12.75" customHeight="1"/>
    <row r="488" ht="12.75" customHeight="1"/>
    <row r="489" ht="12.75" customHeight="1"/>
    <row r="490" ht="12.75" customHeight="1"/>
    <row r="491" ht="12.75" customHeight="1"/>
    <row r="492" ht="12.75" customHeight="1"/>
    <row r="493" ht="12.75" customHeight="1"/>
    <row r="494" ht="12.75" customHeight="1"/>
    <row r="495" ht="12.75" customHeight="1"/>
    <row r="496" ht="12.75" customHeight="1"/>
    <row r="497" ht="12.75" customHeight="1"/>
    <row r="498" ht="12.75" customHeight="1"/>
    <row r="499" ht="12.75" customHeight="1"/>
    <row r="500" ht="12.75" customHeight="1"/>
    <row r="501" ht="12.75" customHeight="1"/>
    <row r="502" ht="12.75" customHeight="1"/>
    <row r="503" ht="12.75" customHeight="1"/>
    <row r="504" ht="12.75" customHeight="1"/>
    <row r="505" ht="12.75" customHeight="1"/>
    <row r="506" ht="12.75" customHeight="1"/>
    <row r="507" ht="12.75" customHeight="1"/>
    <row r="508" ht="12.75" customHeight="1"/>
    <row r="509" ht="12.75" customHeight="1"/>
    <row r="510" ht="12.75" customHeight="1"/>
    <row r="511" ht="12.75" customHeight="1"/>
    <row r="512" ht="12.75" customHeight="1"/>
    <row r="513" ht="12.75" customHeight="1"/>
    <row r="514" ht="12.75" customHeight="1"/>
    <row r="515" ht="12.75" customHeight="1"/>
    <row r="516" ht="12.75" customHeight="1"/>
    <row r="517" ht="12.75" customHeight="1"/>
    <row r="518" ht="12.75" customHeight="1"/>
    <row r="519" ht="12.75" customHeight="1"/>
    <row r="520" ht="12.75" customHeight="1"/>
    <row r="521" ht="12.75" customHeight="1"/>
    <row r="522" ht="12.75" customHeight="1"/>
    <row r="523" ht="12.75" customHeight="1"/>
    <row r="524" ht="12.75" customHeight="1"/>
    <row r="525" ht="12.75" customHeight="1"/>
    <row r="526" ht="12.75" customHeight="1"/>
    <row r="527" ht="12.75" customHeight="1"/>
    <row r="528" ht="12.75" customHeight="1"/>
    <row r="529" ht="12.75" customHeight="1"/>
    <row r="530" ht="12.75" customHeight="1"/>
    <row r="531" ht="12.75" customHeight="1"/>
    <row r="532" ht="12.75" customHeight="1"/>
    <row r="533" ht="12.75" customHeight="1"/>
    <row r="534" ht="12.75" customHeight="1"/>
    <row r="535" ht="12.75" customHeight="1"/>
    <row r="536" ht="12.75" customHeight="1"/>
    <row r="537" ht="12.75" customHeight="1"/>
    <row r="538" ht="12.75" customHeight="1"/>
    <row r="539" ht="12.75" customHeight="1"/>
    <row r="540" ht="12.75" customHeight="1"/>
    <row r="541" ht="12.75" customHeight="1"/>
    <row r="542" ht="12.75" customHeight="1"/>
    <row r="543" ht="12.75" customHeight="1"/>
    <row r="544" ht="12.75" customHeight="1"/>
    <row r="545" ht="12.75" customHeight="1"/>
    <row r="546" ht="12.75" customHeight="1"/>
    <row r="547" ht="12.75" customHeight="1"/>
    <row r="548" ht="12.75" customHeight="1"/>
    <row r="549" ht="12.75" customHeight="1"/>
    <row r="550" ht="12.75" customHeight="1"/>
    <row r="551" ht="12.75" customHeight="1"/>
    <row r="552" ht="12.75" customHeight="1"/>
    <row r="553" ht="12.75" customHeight="1"/>
    <row r="554" ht="12.75" customHeight="1"/>
    <row r="555" ht="12.75" customHeight="1"/>
    <row r="556" ht="12.75" customHeight="1"/>
    <row r="557" ht="12.75" customHeight="1"/>
    <row r="558" ht="12.75" customHeight="1"/>
    <row r="559" ht="12.75" customHeight="1"/>
    <row r="560" ht="12.75" customHeight="1"/>
    <row r="561" ht="12.75" customHeight="1"/>
    <row r="562" ht="12.75" customHeight="1"/>
    <row r="563" ht="12.75" customHeight="1"/>
    <row r="564" ht="12.75" customHeight="1"/>
    <row r="565" ht="12.75" customHeight="1"/>
    <row r="566" ht="12.75" customHeight="1"/>
    <row r="567" ht="12.75" customHeight="1"/>
    <row r="568" ht="12.75" customHeight="1"/>
    <row r="569" ht="12.75" customHeight="1"/>
    <row r="570" ht="12.75" customHeight="1"/>
    <row r="571" ht="12.75" customHeight="1"/>
    <row r="572" ht="12.75" customHeight="1"/>
    <row r="573" ht="12.75" customHeight="1"/>
    <row r="574" ht="12.75" customHeight="1"/>
    <row r="575" ht="12.75" customHeight="1"/>
    <row r="576" ht="12.75" customHeight="1"/>
    <row r="577" ht="12.75" customHeight="1"/>
    <row r="578" ht="12.75" customHeight="1"/>
    <row r="579" ht="12.75" customHeight="1"/>
    <row r="580" ht="12.75" customHeight="1"/>
    <row r="581" ht="12.75" customHeight="1"/>
    <row r="582" ht="12.75" customHeight="1"/>
    <row r="583" ht="12.75" customHeight="1"/>
    <row r="584" ht="12.75" customHeight="1"/>
    <row r="585" ht="12.75" customHeight="1"/>
    <row r="586" ht="12.75" customHeight="1"/>
    <row r="587" ht="12.75" customHeight="1"/>
    <row r="588" ht="12.75" customHeight="1"/>
    <row r="589" ht="12.75" customHeight="1"/>
    <row r="590" ht="12.75" customHeight="1"/>
    <row r="591" ht="12.75" customHeight="1"/>
    <row r="592" ht="12.75" customHeight="1"/>
    <row r="593" ht="12.75" customHeight="1"/>
    <row r="594" ht="12.75" customHeight="1"/>
    <row r="595" ht="12.75" customHeight="1"/>
    <row r="596" ht="12.75" customHeight="1"/>
    <row r="597" ht="12.75" customHeight="1"/>
    <row r="598" ht="12.75" customHeight="1"/>
    <row r="599" ht="12.75" customHeight="1"/>
    <row r="600" ht="12.75" customHeight="1"/>
    <row r="601" ht="12.75" customHeight="1"/>
    <row r="602" ht="12.75" customHeight="1"/>
    <row r="603" ht="12.75" customHeight="1"/>
    <row r="604" ht="12.75" customHeight="1"/>
    <row r="605" ht="12.75" customHeight="1"/>
    <row r="606" ht="12.75" customHeight="1"/>
    <row r="607" ht="12.75" customHeight="1"/>
    <row r="608" ht="12.75" customHeight="1"/>
    <row r="609" ht="12.75" customHeight="1"/>
    <row r="610" ht="12.75" customHeight="1"/>
    <row r="611" ht="12.75" customHeight="1"/>
    <row r="612" ht="12.75" customHeight="1"/>
    <row r="613" ht="12.75" customHeight="1"/>
    <row r="614" ht="12.75" customHeight="1"/>
    <row r="615" ht="12.75" customHeight="1"/>
    <row r="616" ht="12.75" customHeight="1"/>
    <row r="617" ht="12.75" customHeight="1"/>
    <row r="618" ht="12.75" customHeight="1"/>
    <row r="619" ht="12.75" customHeight="1"/>
    <row r="620" ht="12.75" customHeight="1"/>
    <row r="621" ht="12.75" customHeight="1"/>
    <row r="622" ht="12.75" customHeight="1"/>
    <row r="623" ht="12.75" customHeight="1"/>
    <row r="624" ht="12.75" customHeight="1"/>
    <row r="625" ht="12.75" customHeight="1"/>
    <row r="626" ht="12.75" customHeight="1"/>
    <row r="627" ht="12.75" customHeight="1"/>
    <row r="628" ht="12.75" customHeight="1"/>
    <row r="629" ht="12.75" customHeight="1"/>
    <row r="630" ht="12.75" customHeight="1"/>
    <row r="631" ht="12.75" customHeight="1"/>
    <row r="632" ht="12.75" customHeight="1"/>
    <row r="633" ht="12.75" customHeight="1"/>
    <row r="634" ht="12.75" customHeight="1"/>
    <row r="635" ht="12.75" customHeight="1"/>
    <row r="636" ht="12.75" customHeight="1"/>
    <row r="637" ht="12.75" customHeight="1"/>
    <row r="638" ht="12.75" customHeight="1"/>
    <row r="639" ht="12.75" customHeight="1"/>
    <row r="640" ht="12.75" customHeight="1"/>
    <row r="641" ht="12.75" customHeight="1"/>
    <row r="642" ht="12.75" customHeight="1"/>
    <row r="643" ht="12.75" customHeight="1"/>
    <row r="644" ht="12.75" customHeight="1"/>
    <row r="645" ht="12.75" customHeight="1"/>
    <row r="646" ht="12.75" customHeight="1"/>
    <row r="647" ht="12.75" customHeight="1"/>
    <row r="648" ht="12.75" customHeight="1"/>
    <row r="649" ht="12.75" customHeight="1"/>
    <row r="650" ht="12.75" customHeight="1"/>
    <row r="651" ht="12.75" customHeight="1"/>
    <row r="652" ht="12.75" customHeight="1"/>
    <row r="653" ht="12.75" customHeight="1"/>
    <row r="654" ht="12.75" customHeight="1"/>
    <row r="655" ht="12.75" customHeight="1"/>
    <row r="656" ht="12.75" customHeight="1"/>
    <row r="657" ht="12.75" customHeight="1"/>
    <row r="658" ht="12.75" customHeight="1"/>
    <row r="659" ht="12.75" customHeight="1"/>
    <row r="660" ht="12.75" customHeight="1"/>
    <row r="661" ht="12.75" customHeight="1"/>
    <row r="662" ht="12.75" customHeight="1"/>
    <row r="663" ht="12.75" customHeight="1"/>
    <row r="664" ht="12.75" customHeight="1"/>
    <row r="665" ht="12.75" customHeight="1"/>
    <row r="666" ht="12.75" customHeight="1"/>
    <row r="667" ht="12.75" customHeight="1"/>
    <row r="668" ht="12.75" customHeight="1"/>
    <row r="669" ht="12.75" customHeight="1"/>
    <row r="670" ht="12.75" customHeight="1"/>
    <row r="671" ht="12.75" customHeight="1"/>
    <row r="672" ht="12.75" customHeight="1"/>
    <row r="673" ht="12.75" customHeight="1"/>
    <row r="674" ht="12.75" customHeight="1"/>
    <row r="675" ht="12.75" customHeight="1"/>
    <row r="676" ht="12.75" customHeight="1"/>
    <row r="677" ht="12.75" customHeight="1"/>
    <row r="678" ht="12.75" customHeight="1"/>
    <row r="679" ht="12.75" customHeight="1"/>
    <row r="680" ht="12.75" customHeight="1"/>
    <row r="681" ht="12.75" customHeight="1"/>
    <row r="682" ht="12.75" customHeight="1"/>
    <row r="683" ht="12.75" customHeight="1"/>
    <row r="684" ht="12.75" customHeight="1"/>
    <row r="685" ht="12.75" customHeight="1"/>
    <row r="686" ht="12.75" customHeight="1"/>
    <row r="687" ht="12.75" customHeight="1"/>
    <row r="688" ht="12.75" customHeight="1"/>
    <row r="689" ht="12.75" customHeight="1"/>
    <row r="690" ht="12.75" customHeight="1"/>
    <row r="691" ht="12.75" customHeight="1"/>
    <row r="692" ht="12.75" customHeight="1"/>
    <row r="693" ht="12.75" customHeight="1"/>
    <row r="694" ht="12.75" customHeight="1"/>
    <row r="695" ht="12.75" customHeight="1"/>
    <row r="696" ht="12.75" customHeight="1"/>
    <row r="697" ht="12.75" customHeight="1"/>
    <row r="698" ht="12.75" customHeight="1"/>
    <row r="699" ht="12.75" customHeight="1"/>
    <row r="700" ht="12.75" customHeight="1"/>
    <row r="701" ht="12.75" customHeight="1"/>
    <row r="702" ht="12.75" customHeight="1"/>
    <row r="703" ht="12.75" customHeight="1"/>
    <row r="704" ht="12.75" customHeight="1"/>
    <row r="705" ht="12.75" customHeight="1"/>
    <row r="706" ht="12.75" customHeight="1"/>
    <row r="707" ht="12.75" customHeight="1"/>
    <row r="708" ht="12.75" customHeight="1"/>
    <row r="709" ht="12.75" customHeight="1"/>
    <row r="710" ht="12.75" customHeight="1"/>
    <row r="711" ht="12.75" customHeight="1"/>
    <row r="712" ht="12.75" customHeight="1"/>
    <row r="713" ht="12.75" customHeight="1"/>
    <row r="714" ht="12.75" customHeight="1"/>
    <row r="715" ht="12.75" customHeight="1"/>
    <row r="716" ht="12.75" customHeight="1"/>
    <row r="717" ht="12.75" customHeight="1"/>
    <row r="718" ht="12.75" customHeight="1"/>
    <row r="719" ht="12.75" customHeight="1"/>
    <row r="720" ht="12.75" customHeight="1"/>
    <row r="721" ht="12.75" customHeight="1"/>
    <row r="722" ht="12.75" customHeight="1"/>
    <row r="723" ht="12.75" customHeight="1"/>
    <row r="724" ht="12.75" customHeight="1"/>
    <row r="725" ht="12.75" customHeight="1"/>
    <row r="726" ht="12.75" customHeight="1"/>
    <row r="727" ht="12.75" customHeight="1"/>
    <row r="728" ht="12.75" customHeight="1"/>
    <row r="729" ht="12.75" customHeight="1"/>
    <row r="730" ht="12.75" customHeight="1"/>
    <row r="731" ht="12.75" customHeight="1"/>
    <row r="732" ht="12.75" customHeight="1"/>
    <row r="733" ht="12.75" customHeight="1"/>
    <row r="734" ht="12.75" customHeight="1"/>
    <row r="735" ht="12.75" customHeight="1"/>
    <row r="736" ht="12.75" customHeight="1"/>
    <row r="737" ht="12.75" customHeight="1"/>
    <row r="738" ht="12.75" customHeight="1"/>
    <row r="739" ht="12.75" customHeight="1"/>
    <row r="740" ht="12.75" customHeight="1"/>
    <row r="741" ht="12.75" customHeight="1"/>
    <row r="742" ht="12.75" customHeight="1"/>
    <row r="743" ht="12.75" customHeight="1"/>
    <row r="744" ht="12.75" customHeight="1"/>
    <row r="745" ht="12.75" customHeight="1"/>
    <row r="746" ht="12.75" customHeight="1"/>
    <row r="747" ht="12.75" customHeight="1"/>
    <row r="748" ht="12.75" customHeight="1"/>
    <row r="749" ht="12.75" customHeight="1"/>
    <row r="750" ht="12.75" customHeight="1"/>
    <row r="751" ht="12.75" customHeight="1"/>
    <row r="752" ht="12.75" customHeight="1"/>
    <row r="753" ht="12.75" customHeight="1"/>
    <row r="754" ht="12.75" customHeight="1"/>
    <row r="755" ht="12.75" customHeight="1"/>
    <row r="756" ht="12.75" customHeight="1"/>
    <row r="757" ht="12.75" customHeight="1"/>
    <row r="758" ht="12.75" customHeight="1"/>
    <row r="759" ht="12.75" customHeight="1"/>
    <row r="760" ht="12.75" customHeight="1"/>
    <row r="761" ht="12.75" customHeight="1"/>
    <row r="762" ht="12.75" customHeight="1"/>
    <row r="763" ht="12.75" customHeight="1"/>
    <row r="764" ht="12.75" customHeight="1"/>
    <row r="765" ht="12.75" customHeight="1"/>
    <row r="766" ht="12.75" customHeight="1"/>
    <row r="767" ht="12.75" customHeight="1"/>
    <row r="768" ht="12.75" customHeight="1"/>
    <row r="769" ht="12.75" customHeight="1"/>
    <row r="770" ht="12.75" customHeight="1"/>
    <row r="771" ht="12.75" customHeight="1"/>
    <row r="772" ht="12.75" customHeight="1"/>
    <row r="773" ht="12.75" customHeight="1"/>
    <row r="774" ht="12.75" customHeight="1"/>
    <row r="775" ht="12.75" customHeight="1"/>
    <row r="776" ht="12.75" customHeight="1"/>
    <row r="777" ht="12.75" customHeight="1"/>
    <row r="778" ht="12.75" customHeight="1"/>
    <row r="779" ht="12.75" customHeight="1"/>
    <row r="780" ht="12.75" customHeight="1"/>
    <row r="781" ht="12.75" customHeight="1"/>
    <row r="782" ht="12.75" customHeight="1"/>
    <row r="783" ht="12.75" customHeight="1"/>
    <row r="784" ht="12.75" customHeight="1"/>
    <row r="785" ht="12.75" customHeight="1"/>
    <row r="786" ht="12.75" customHeight="1"/>
    <row r="787" ht="12.75" customHeight="1"/>
    <row r="788" ht="12.75" customHeight="1"/>
    <row r="789" ht="12.75" customHeight="1"/>
    <row r="790" ht="12.75" customHeight="1"/>
    <row r="791" ht="12.75" customHeight="1"/>
    <row r="792" ht="12.75" customHeight="1"/>
    <row r="793" ht="12.75" customHeight="1"/>
    <row r="794" ht="12.75" customHeight="1"/>
    <row r="795" ht="12.75" customHeight="1"/>
    <row r="796" ht="12.75" customHeight="1"/>
    <row r="797" ht="12.75" customHeight="1"/>
    <row r="798" ht="12.75" customHeight="1"/>
    <row r="799" ht="12.75" customHeight="1"/>
    <row r="800" ht="12.75" customHeight="1"/>
    <row r="801" ht="12.75" customHeight="1"/>
    <row r="802" ht="12.75" customHeight="1"/>
    <row r="803" ht="12.75" customHeight="1"/>
    <row r="804" ht="12.75" customHeight="1"/>
    <row r="805" ht="12.75" customHeight="1"/>
    <row r="806" ht="12.75" customHeight="1"/>
    <row r="807" ht="12.75" customHeight="1"/>
    <row r="808" ht="12.75" customHeight="1"/>
    <row r="809" ht="12.75" customHeight="1"/>
    <row r="810" ht="12.75" customHeight="1"/>
    <row r="811" ht="12.75" customHeight="1"/>
    <row r="812" ht="12.75" customHeight="1"/>
    <row r="813" ht="12.75" customHeight="1"/>
    <row r="814" ht="12.75" customHeight="1"/>
    <row r="815" ht="12.75" customHeight="1"/>
    <row r="816" ht="12.75" customHeight="1"/>
    <row r="817" ht="12.75" customHeight="1"/>
    <row r="818" ht="12.75" customHeight="1"/>
    <row r="819" ht="12.75" customHeight="1"/>
    <row r="820" ht="12.75" customHeight="1"/>
    <row r="821" ht="12.75" customHeight="1"/>
    <row r="822" ht="12.75" customHeight="1"/>
    <row r="823" ht="12.75" customHeight="1"/>
    <row r="824" ht="12.75" customHeight="1"/>
    <row r="825" ht="12.75" customHeight="1"/>
    <row r="826" ht="12.75" customHeight="1"/>
    <row r="827" ht="12.75" customHeight="1"/>
    <row r="828" ht="12.75" customHeight="1"/>
    <row r="829" ht="12.75" customHeight="1"/>
    <row r="830" ht="12.75" customHeight="1"/>
    <row r="831" ht="12.75" customHeight="1"/>
    <row r="832" ht="12.75" customHeight="1"/>
    <row r="833" ht="12.75" customHeight="1"/>
    <row r="834" ht="12.75" customHeight="1"/>
    <row r="835" ht="12.75" customHeight="1"/>
    <row r="836" ht="12.75" customHeight="1"/>
    <row r="837" ht="12.75" customHeight="1"/>
    <row r="838" ht="12.75" customHeight="1"/>
    <row r="839" ht="12.75" customHeight="1"/>
    <row r="840" ht="12.75" customHeight="1"/>
    <row r="841" ht="12.75" customHeight="1"/>
    <row r="842" ht="12.75" customHeight="1"/>
    <row r="843" ht="12.75" customHeight="1"/>
    <row r="844" ht="12.75" customHeight="1"/>
    <row r="845" ht="12.75" customHeight="1"/>
    <row r="846" ht="12.75" customHeight="1"/>
    <row r="847" ht="12.75" customHeight="1"/>
    <row r="848" ht="12.75" customHeight="1"/>
    <row r="849" ht="12.75" customHeight="1"/>
    <row r="850" ht="12.75" customHeight="1"/>
    <row r="851" ht="12.75" customHeight="1"/>
    <row r="852" ht="12.75" customHeight="1"/>
    <row r="853" ht="12.75" customHeight="1"/>
    <row r="854" ht="12.75" customHeight="1"/>
    <row r="855" ht="12.75" customHeight="1"/>
    <row r="856" ht="12.75" customHeight="1"/>
    <row r="857" ht="12.75" customHeight="1"/>
    <row r="858" ht="12.75" customHeight="1"/>
    <row r="859" ht="12.75" customHeight="1"/>
    <row r="860" ht="12.75" customHeight="1"/>
    <row r="861" ht="12.75" customHeight="1"/>
    <row r="862" ht="12.75" customHeight="1"/>
    <row r="863" ht="12.75" customHeight="1"/>
    <row r="864" ht="12.75" customHeight="1"/>
    <row r="865" ht="12.75" customHeight="1"/>
    <row r="866" ht="12.75" customHeight="1"/>
    <row r="867" ht="12.75" customHeight="1"/>
    <row r="868" ht="12.75" customHeight="1"/>
    <row r="869" ht="12.75" customHeight="1"/>
    <row r="870" ht="12.75" customHeight="1"/>
    <row r="871" ht="12.75" customHeight="1"/>
    <row r="872" ht="12.75" customHeight="1"/>
    <row r="873" ht="12.75" customHeight="1"/>
    <row r="874" ht="12.75" customHeight="1"/>
    <row r="875" ht="12.75" customHeight="1"/>
    <row r="876" ht="12.75" customHeight="1"/>
    <row r="877" ht="12.75" customHeight="1"/>
    <row r="878" ht="12.75" customHeight="1"/>
    <row r="879" ht="12.75" customHeight="1"/>
    <row r="880" ht="12.75" customHeight="1"/>
    <row r="881" ht="12.75" customHeight="1"/>
    <row r="882" ht="12.75" customHeight="1"/>
    <row r="883" ht="12.75" customHeight="1"/>
    <row r="884" ht="12.75" customHeight="1"/>
    <row r="885" ht="12.75" customHeight="1"/>
    <row r="886" ht="12.75" customHeight="1"/>
    <row r="887" ht="12.75" customHeight="1"/>
    <row r="888" ht="12.75" customHeight="1"/>
    <row r="889" ht="12.75" customHeight="1"/>
    <row r="890" ht="12.75" customHeight="1"/>
    <row r="891" ht="12.75" customHeight="1"/>
    <row r="892" ht="12.75" customHeight="1"/>
    <row r="893" ht="12.75" customHeight="1"/>
    <row r="894" ht="12.75" customHeight="1"/>
    <row r="895" ht="12.75" customHeight="1"/>
    <row r="896" ht="12.75" customHeight="1"/>
    <row r="897" ht="12.75" customHeight="1"/>
    <row r="898" ht="12.75" customHeight="1"/>
    <row r="899" ht="12.75" customHeight="1"/>
    <row r="900" ht="12.75" customHeight="1"/>
    <row r="901" ht="12.75" customHeight="1"/>
    <row r="902" ht="12.75" customHeight="1"/>
    <row r="903" ht="12.75" customHeight="1"/>
    <row r="904" ht="12.75" customHeight="1"/>
    <row r="905" ht="12.75" customHeight="1"/>
    <row r="906" ht="12.75" customHeight="1"/>
    <row r="907" ht="12.75" customHeight="1"/>
    <row r="908" ht="12.75" customHeight="1"/>
    <row r="909" ht="12.75" customHeight="1"/>
    <row r="910" ht="12.75" customHeight="1"/>
    <row r="911" ht="12.75" customHeight="1"/>
    <row r="912" ht="12.75" customHeight="1"/>
    <row r="913" ht="12.75" customHeight="1"/>
    <row r="914" ht="12.75" customHeight="1"/>
    <row r="915" ht="12.75" customHeight="1"/>
    <row r="916" ht="12.75" customHeight="1"/>
    <row r="917" ht="12.75" customHeight="1"/>
    <row r="918" ht="12.75" customHeight="1"/>
    <row r="919" ht="12.75" customHeight="1"/>
    <row r="920" ht="12.75" customHeight="1"/>
    <row r="921" ht="12.75" customHeight="1"/>
    <row r="922" ht="12.75" customHeight="1"/>
    <row r="923" ht="12.75" customHeight="1"/>
    <row r="924" ht="12.75" customHeight="1"/>
    <row r="925" ht="12.75" customHeight="1"/>
    <row r="926" ht="12.75" customHeight="1"/>
    <row r="927" ht="12.75" customHeight="1"/>
    <row r="928" ht="12.75" customHeight="1"/>
    <row r="929" ht="12.75" customHeight="1"/>
    <row r="930" ht="12.75" customHeight="1"/>
    <row r="931" ht="12.75" customHeight="1"/>
    <row r="932" ht="12.75" customHeight="1"/>
    <row r="933" ht="12.75" customHeight="1"/>
    <row r="934" ht="12.75" customHeight="1"/>
    <row r="935" ht="12.75" customHeight="1"/>
    <row r="936" ht="12.75" customHeight="1"/>
    <row r="937" ht="12.75" customHeight="1"/>
    <row r="938" ht="12.75" customHeight="1"/>
    <row r="939" ht="12.75" customHeight="1"/>
    <row r="940" ht="12.75" customHeight="1"/>
    <row r="941" ht="12.75" customHeight="1"/>
    <row r="942" ht="12.75" customHeight="1"/>
    <row r="943" ht="12.75" customHeight="1"/>
    <row r="944" ht="12.75" customHeight="1"/>
    <row r="945" ht="12.75" customHeight="1"/>
    <row r="946" ht="12.75" customHeight="1"/>
    <row r="947" ht="12.75" customHeight="1"/>
    <row r="948" ht="12.75" customHeight="1"/>
    <row r="949" ht="12.75" customHeight="1"/>
    <row r="950" ht="12.75" customHeight="1"/>
    <row r="951" ht="12.75" customHeight="1"/>
    <row r="952" ht="12.75" customHeight="1"/>
    <row r="953" ht="12.75" customHeight="1"/>
    <row r="954" ht="12.75" customHeight="1"/>
    <row r="955" ht="12.75" customHeight="1"/>
    <row r="956" ht="12.75" customHeight="1"/>
    <row r="957" ht="12.75" customHeight="1"/>
    <row r="958" ht="12.75" customHeight="1"/>
    <row r="959" ht="12.75" customHeight="1"/>
    <row r="960" ht="12.75" customHeight="1"/>
    <row r="961" ht="12.75" customHeight="1"/>
    <row r="962" ht="12.75" customHeight="1"/>
    <row r="963" ht="12.75" customHeight="1"/>
    <row r="964" ht="12.75" customHeight="1"/>
    <row r="965" ht="12.75" customHeight="1"/>
    <row r="966" ht="12.75" customHeight="1"/>
    <row r="967" ht="12.75" customHeight="1"/>
    <row r="968" ht="12.75" customHeight="1"/>
    <row r="969" ht="12.75" customHeight="1"/>
    <row r="970" ht="12.75" customHeight="1"/>
    <row r="971" ht="12.75" customHeight="1"/>
    <row r="972" ht="12.75" customHeight="1"/>
    <row r="973" ht="12.75" customHeight="1"/>
    <row r="974" ht="12.75" customHeight="1"/>
    <row r="975" ht="12.75" customHeight="1"/>
    <row r="976" ht="12.75" customHeight="1"/>
    <row r="977" ht="12.75" customHeight="1"/>
    <row r="978" ht="12.75" customHeight="1"/>
    <row r="979" ht="12.75" customHeight="1"/>
    <row r="980" ht="12.75" customHeight="1"/>
    <row r="981" ht="12.75" customHeight="1"/>
    <row r="982" ht="12.75" customHeight="1"/>
    <row r="983" ht="12.75" customHeight="1"/>
    <row r="984" ht="12.75" customHeight="1"/>
    <row r="985" ht="12.75" customHeight="1"/>
    <row r="986" ht="12.75" customHeight="1"/>
    <row r="987" ht="12.75" customHeight="1"/>
    <row r="988" ht="12.75" customHeight="1"/>
    <row r="989" ht="12.75" customHeight="1"/>
    <row r="990" ht="12.75" customHeight="1"/>
    <row r="991" ht="12.75" customHeight="1"/>
    <row r="992" ht="12.75" customHeight="1"/>
    <row r="993" ht="12.75" customHeight="1"/>
    <row r="994" ht="12.75" customHeight="1"/>
    <row r="995" ht="12.75" customHeight="1"/>
    <row r="996" ht="12.75" customHeight="1"/>
    <row r="997" ht="12.75" customHeight="1"/>
    <row r="998" ht="12.75" customHeight="1"/>
  </sheetData>
  <mergeCells count="5">
    <mergeCell ref="A24:J24"/>
    <mergeCell ref="A29:J29"/>
    <mergeCell ref="A35:J35"/>
    <mergeCell ref="A39:J39"/>
    <mergeCell ref="A53:J53"/>
  </mergeCells>
  <printOptions/>
  <pageMargins bottom="0.75" footer="0.0" header="0.0" left="0.7" right="0.7" top="0.75"/>
  <pageSetup orientation="landscape"/>
  <drawing r:id="rId1"/>
</worksheet>
</file>