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rm responses 1" sheetId="1" r:id="rId4"/>
    <sheet state="visible" name="Solution" sheetId="2" r:id="rId5"/>
  </sheets>
  <definedNames>
    <definedName name="T">Solution!$E$70</definedName>
    <definedName name="Delta">Solution!$B$41</definedName>
    <definedName name="c_0">Solution!$E$41</definedName>
    <definedName name="DLri">Solution!$D$37</definedName>
    <definedName name="I_Dc">Solution!$B$32</definedName>
    <definedName name="SWR">Solution!$B$26</definedName>
  </definedNames>
  <calcPr/>
</workbook>
</file>

<file path=xl/sharedStrings.xml><?xml version="1.0" encoding="utf-8"?>
<sst xmlns="http://schemas.openxmlformats.org/spreadsheetml/2006/main" count="230" uniqueCount="164">
  <si>
    <t>N.</t>
  </si>
  <si>
    <t>Timestamp</t>
  </si>
  <si>
    <t>Email address</t>
  </si>
  <si>
    <t>Surname and Name</t>
  </si>
  <si>
    <t>Matricula</t>
  </si>
  <si>
    <t>A</t>
  </si>
  <si>
    <t>B</t>
  </si>
  <si>
    <t>C</t>
  </si>
  <si>
    <t>D</t>
  </si>
  <si>
    <t>E</t>
  </si>
  <si>
    <t>F</t>
  </si>
  <si>
    <t>Online</t>
  </si>
  <si>
    <t>1) Check the sentences you think are TRUE</t>
  </si>
  <si>
    <t>2) Check the sentences you think are always TRUE</t>
  </si>
  <si>
    <t xml:space="preserve">3) In a standing wave tube the value of the SWR  is 3+F/4. Compute the apparent absorption coefficient, α, of the sample inserted in the tube.              </t>
  </si>
  <si>
    <t>OK Value</t>
  </si>
  <si>
    <t>Score</t>
  </si>
  <si>
    <t xml:space="preserve">4) In a standing wave tube the intensity/density ratio (I/Dc) is 0.2+F/20. Compute the apparent absorption coefficient, α, of the sample inserted in the tube.              </t>
  </si>
  <si>
    <t xml:space="preserve">5) A measurement according to EN 1793/5 is performed on a noise barrier, resulting in a reduction of the level of reflected noise, DLri, equal to 3+E/4 dB(A). Compute the average reflection index, RI, of the barrier </t>
  </si>
  <si>
    <t>6) A noise barrier creates an incremental path Delta of 0.5+F/10 m. The spectrum of the noise is flat (pink) between 125 Hz and 4 kHz. Compute the barrier attenuation in dB(A).</t>
  </si>
  <si>
    <t>OK unit</t>
  </si>
  <si>
    <t>7) Compute the SEL for the following noise level profile:</t>
  </si>
  <si>
    <t>TOTAL</t>
  </si>
  <si>
    <t>vinaysankar@outlook.com</t>
  </si>
  <si>
    <t>sankar vinay</t>
  </si>
  <si>
    <t>A standing wave tube measures the true value of Alpha for normal incidence, The sound intensity method can be used either inside a tube or in free field, Simulations done with computer programs require to use the true value of Alpha</t>
  </si>
  <si>
    <t>The absolute immission limits (LAq,day, LAeq,night) depend on the land’s zoning, The differential immission limits are different for day and night, The environmental noise level must be corrected for the presence of tonal components, The environmental noise level must be corrected for the presence of impulsive components</t>
  </si>
  <si>
    <t>13.3 dB(A)</t>
  </si>
  <si>
    <t>dB(A)</t>
  </si>
  <si>
    <t>124.6 dB(A)</t>
  </si>
  <si>
    <t>prince.mathew@studenti.unipr.it</t>
  </si>
  <si>
    <t>Mathew Prince</t>
  </si>
  <si>
    <t>The environmental noise level must be corrected for the presence of tonal components</t>
  </si>
  <si>
    <t>14.4 dB(A)</t>
  </si>
  <si>
    <t>125.808dB(A)</t>
  </si>
  <si>
    <t>milann1134@gmail.com</t>
  </si>
  <si>
    <t xml:space="preserve">Milosta Hanna </t>
  </si>
  <si>
    <t>ISO354 measures Alpha Sabine, which is always larger than the true Alpha of a material, The sound intensity method can be used either inside a tube or in free field, Simulations done with computer programs require to use the true value of Alpha, The scattering coefficient s is always smaller than Alpha</t>
  </si>
  <si>
    <t>The absolute immission limits (LAq,day, LAeq,night) depend on the land’s zoning, The environmental noise level must be corrected for the presence of impulsive components, Lden is always larger than Lday for any noise profiles.</t>
  </si>
  <si>
    <t>88 dB(A)</t>
  </si>
  <si>
    <t>mahdi.habibi@studenti.unipr.it</t>
  </si>
  <si>
    <t>mahdi habibi</t>
  </si>
  <si>
    <t>legrouxthibaut@gmail.com</t>
  </si>
  <si>
    <t>Thibaut Legroux</t>
  </si>
  <si>
    <t>A standing wave tube measures the true value of Alpha for normal incidence, The impulsive method (EN 1793-5) does not measure the true value of Alpha nor Alpha Sabine., The sound intensity method can be used either inside a tube or in free field, The scattering coefficient s is always smaller than Alpha</t>
  </si>
  <si>
    <t>The differential immission limits are different for day and night, The environmental noise level must be corrected for the presence of tonal components, The environmental noise level must be corrected for the presence of impulsive components</t>
  </si>
  <si>
    <t>120.64 dB(A)</t>
  </si>
  <si>
    <t>basant.kumar@studenti.unipr.it</t>
  </si>
  <si>
    <t xml:space="preserve">Basant Kumar </t>
  </si>
  <si>
    <t>3 6 7 5 0 4</t>
  </si>
  <si>
    <t>Alpha= 3/5</t>
  </si>
  <si>
    <t>Alpha =3/7</t>
  </si>
  <si>
    <t>RI= 3 dB(A)</t>
  </si>
  <si>
    <t>Attenuation= 7.96 dB(A)</t>
  </si>
  <si>
    <t>SEL = 9450.6 dB</t>
  </si>
  <si>
    <t>violettegobert79@gmail.com</t>
  </si>
  <si>
    <t>Gobert Violette</t>
  </si>
  <si>
    <t>124.74 dB(A)</t>
  </si>
  <si>
    <t>ahmed.saleh201511@gmail.com</t>
  </si>
  <si>
    <t>Ahmed Saleh</t>
  </si>
  <si>
    <t>A standing wave tube measures the true value of Alpha for normal incidence, The sound intensity method can be used either inside a tube or in free field, The scattering coefficient s is always smaller than Alpha</t>
  </si>
  <si>
    <t>The environmental noise level must be corrected for the presence of tonal components, Lden is always larger than Lday for any noise profiles.</t>
  </si>
  <si>
    <t>.75 m^2</t>
  </si>
  <si>
    <t>.33 m^2</t>
  </si>
  <si>
    <t>.001 db(A)</t>
  </si>
  <si>
    <t>10.8 db(A)</t>
  </si>
  <si>
    <t>123.604 db(A)</t>
  </si>
  <si>
    <t>Md.Abdullah@studenti.unipr.it</t>
  </si>
  <si>
    <t>Md Abdullah</t>
  </si>
  <si>
    <t>A standing wave tube measures the true value of Alpha for normal incidence, The sound intensity method can be used either inside a tube or in free field</t>
  </si>
  <si>
    <t xml:space="preserve"> α=0.556</t>
  </si>
  <si>
    <t xml:space="preserve"> α= 0.23</t>
  </si>
  <si>
    <t>-4 dB(A)</t>
  </si>
  <si>
    <t>14.4 db(A)</t>
  </si>
  <si>
    <t>SEL-tot= 470.047 dB(A)</t>
  </si>
  <si>
    <t>mohamedsalemkhalifa.alshawish@studenti.unipr.it</t>
  </si>
  <si>
    <t xml:space="preserve">Alshawish Mohamed </t>
  </si>
  <si>
    <t>3 6 7 7 9 8</t>
  </si>
  <si>
    <t>0.78222 sabins/m^s</t>
  </si>
  <si>
    <t>0.59 sabins/m^2</t>
  </si>
  <si>
    <t>0.001 DB</t>
  </si>
  <si>
    <t>14.4 Db(A)</t>
  </si>
  <si>
    <t>81.57, 76.56, 119.33, 122.58 Db(A)</t>
  </si>
  <si>
    <t>mirko.monaco@studenti.unipr.it</t>
  </si>
  <si>
    <t>Monaco Mirko</t>
  </si>
  <si>
    <t>ISO354 measures Alpha Sabine, which is always larger than the true Alpha of a material, A standing wave tube measures the true value of Alpha for normal incidence, The impulsive method (EN 1793-5) does not measure the true value of Alpha nor Alpha Sabine., The sound intensity method can be used either inside a tube or in free field, Simulations done with computer programs require to use the true value of Alpha</t>
  </si>
  <si>
    <t>The absolute immission limits (LAq,day, LAeq,night) depend on the land’s zoning, The environmental noise level must be corrected for the presence of tonal components, The environmental noise level must be corrected for the presence of impulsive components, Lnight measured according to the EN Directive is always equal or smaller than Lnight measured according to the old Italian law</t>
  </si>
  <si>
    <t>14.8 dB(A)</t>
  </si>
  <si>
    <t>124.0 dB(A)</t>
  </si>
  <si>
    <t>francesco.mortali@studenti.unipr.it</t>
  </si>
  <si>
    <t>Mortali Francesco</t>
  </si>
  <si>
    <t>123.202 dB(A)</t>
  </si>
  <si>
    <t>andrea.ronga@studenti.unipr.it</t>
  </si>
  <si>
    <t>RONGA ANDREA</t>
  </si>
  <si>
    <t>A standing wave tube measures the true value of Alpha for normal incidence, The impulsive method (EN 1793-5) does not measure the true value of Alpha nor Alpha Sabine., The sound intensity method can be used either inside a tube or in free field</t>
  </si>
  <si>
    <t>The absolute immission limits (LAq,day, LAeq,night) depend on the land’s zoning, The differential immission limits are different for day and night, The environmental noise level must be corrected for the presence of tonal components, The environmental noise level must be corrected for the presence of impulsive components, Lnight measured according to the EN Directive is always equal or smaller than Lnight measured according to the old Italian law</t>
  </si>
  <si>
    <t>16.1 dB(A)</t>
  </si>
  <si>
    <t>124.42 dB(A)</t>
  </si>
  <si>
    <t>breeabdellah@gmail.com</t>
  </si>
  <si>
    <t xml:space="preserve">Brara abdellah </t>
  </si>
  <si>
    <t>The absolute immission limits (LAq,day, LAeq,night) depend on the land’s zoning, The differential immission limits are different for day and night, The environmental noise level must be corrected for the presence of tonal components, Lden is always larger than Lday for any noise profiles.</t>
  </si>
  <si>
    <t>_5.76</t>
  </si>
  <si>
    <t>45.01(dba),42.21(dba)+78.01(dba)+82.01(dba)</t>
  </si>
  <si>
    <t>Note: formatting errors causing the loss of 1 point</t>
  </si>
  <si>
    <t>Wrong Formatting (spaces or slashes)</t>
  </si>
  <si>
    <t>Wrong Formatting (simbols before number or after unit)</t>
  </si>
  <si>
    <t>Wrong unit</t>
  </si>
  <si>
    <t>Note: Formatting errors not penalised (for this time)</t>
  </si>
  <si>
    <t>Comma instead of decimal dot, unit in extended format</t>
  </si>
  <si>
    <t>Meaningless number (no matricula or date of birth)</t>
  </si>
  <si>
    <t>Applied Acoustics - In-class test - 27/11/2023</t>
  </si>
  <si>
    <r>
      <rPr>
        <rFont val="Calibri"/>
        <b/>
        <color rgb="FF000000"/>
        <sz val="11.0"/>
      </rPr>
      <t>1)</t>
    </r>
    <r>
      <rPr>
        <rFont val="Times New Roman"/>
        <b/>
        <color rgb="FF000000"/>
        <sz val="7.0"/>
      </rPr>
      <t xml:space="preserve">      </t>
    </r>
    <r>
      <rPr>
        <rFont val="Calibri"/>
        <b/>
        <color rgb="FF000000"/>
        <sz val="11.0"/>
      </rPr>
      <t>Check the sentences you think are always TRUE</t>
    </r>
  </si>
  <si>
    <t>(multiple answers allowed)</t>
  </si>
  <si>
    <r>
      <rPr>
        <rFont val="Noto Sans Symbols"/>
        <color rgb="FF202124"/>
        <sz val="11.0"/>
      </rPr>
      <t>¨</t>
    </r>
    <r>
      <rPr>
        <rFont val="Times New Roman"/>
        <color rgb="FF202124"/>
        <sz val="7.0"/>
      </rPr>
      <t xml:space="preserve">  </t>
    </r>
    <r>
      <rPr>
        <rFont val="Calibri"/>
        <color rgb="FF202124"/>
        <sz val="11.0"/>
      </rPr>
      <t>ISO354 measures Alpha Sabine, which is always larger than the true Alpha of a material</t>
    </r>
  </si>
  <si>
    <r>
      <rPr>
        <rFont val="Noto Sans Symbols"/>
        <color rgb="FF202124"/>
        <sz val="11.0"/>
      </rPr>
      <t>¨</t>
    </r>
    <r>
      <rPr>
        <rFont val="Times New Roman"/>
        <color rgb="FF202124"/>
        <sz val="7.0"/>
      </rPr>
      <t xml:space="preserve">  </t>
    </r>
    <r>
      <rPr>
        <rFont val="Calibri"/>
        <color rgb="FF202124"/>
        <sz val="11.0"/>
      </rPr>
      <t>A standing wave tube measures the true value of Alpha for normal incidence</t>
    </r>
  </si>
  <si>
    <r>
      <rPr>
        <rFont val="Noto Sans Symbols"/>
        <color rgb="FF202124"/>
        <sz val="11.0"/>
      </rPr>
      <t>¨</t>
    </r>
    <r>
      <rPr>
        <rFont val="Times New Roman"/>
        <color rgb="FF202124"/>
        <sz val="7.0"/>
      </rPr>
      <t xml:space="preserve">  </t>
    </r>
    <r>
      <rPr>
        <rFont val="Calibri"/>
        <color rgb="FF202124"/>
        <sz val="11.0"/>
      </rPr>
      <t>The impulsive method (EN 1793-5) does not measure the true value of Alpha nor Alpha Sabine.</t>
    </r>
  </si>
  <si>
    <r>
      <rPr>
        <rFont val="Noto Sans Symbols"/>
        <color rgb="FF202124"/>
        <sz val="11.0"/>
      </rPr>
      <t>¨</t>
    </r>
    <r>
      <rPr>
        <rFont val="Times New Roman"/>
        <color rgb="FF202124"/>
        <sz val="7.0"/>
      </rPr>
      <t xml:space="preserve">  </t>
    </r>
    <r>
      <rPr>
        <rFont val="Calibri"/>
        <color rgb="FF202124"/>
        <sz val="11.0"/>
      </rPr>
      <t>The sound intensity method can be used either inside a tube or in free field</t>
    </r>
  </si>
  <si>
    <r>
      <rPr>
        <rFont val="Noto Sans Symbols"/>
        <color rgb="FF202124"/>
        <sz val="11.0"/>
      </rPr>
      <t>¨</t>
    </r>
    <r>
      <rPr>
        <rFont val="Times New Roman"/>
        <color rgb="FF202124"/>
        <sz val="7.0"/>
      </rPr>
      <t xml:space="preserve">  </t>
    </r>
    <r>
      <rPr>
        <rFont val="Calibri"/>
        <color rgb="FF202124"/>
        <sz val="11.0"/>
      </rPr>
      <t>Calculations done with the Sabine formula require to use the true value of Alpha</t>
    </r>
  </si>
  <si>
    <r>
      <rPr>
        <rFont val="Noto Sans Symbols"/>
        <color rgb="FF202124"/>
        <sz val="11.0"/>
      </rPr>
      <t>¨</t>
    </r>
    <r>
      <rPr>
        <rFont val="Times New Roman"/>
        <color rgb="FF202124"/>
        <sz val="7.0"/>
      </rPr>
      <t xml:space="preserve">  </t>
    </r>
    <r>
      <rPr>
        <rFont val="Calibri"/>
        <color rgb="FF202124"/>
        <sz val="11.0"/>
      </rPr>
      <t>Simulations done with computer programs require to use the true value of Alpha</t>
    </r>
  </si>
  <si>
    <r>
      <rPr>
        <rFont val="Noto Sans Symbols"/>
        <color rgb="FF202124"/>
        <sz val="11.0"/>
      </rPr>
      <t>¨</t>
    </r>
    <r>
      <rPr>
        <rFont val="Times New Roman"/>
        <color rgb="FF202124"/>
        <sz val="7.0"/>
      </rPr>
      <t xml:space="preserve">  </t>
    </r>
    <r>
      <rPr>
        <rFont val="Calibri"/>
        <color rgb="FF202124"/>
        <sz val="11.0"/>
      </rPr>
      <t>The scattering coefficient s is always smaller than Alpha</t>
    </r>
  </si>
  <si>
    <r>
      <rPr>
        <rFont val="Calibri"/>
        <b/>
        <color rgb="FF000000"/>
        <sz val="11.0"/>
      </rPr>
      <t>2)</t>
    </r>
    <r>
      <rPr>
        <rFont val="Times New Roman"/>
        <b/>
        <color rgb="FF000000"/>
        <sz val="7.0"/>
      </rPr>
      <t xml:space="preserve">      </t>
    </r>
    <r>
      <rPr>
        <rFont val="Calibri"/>
        <b/>
        <color rgb="FF000000"/>
        <sz val="11.0"/>
      </rPr>
      <t>Check the sentences you think are always TRUE</t>
    </r>
  </si>
  <si>
    <r>
      <rPr>
        <rFont val="Noto Sans Symbols"/>
        <color rgb="FF202124"/>
        <sz val="11.0"/>
      </rPr>
      <t>¨</t>
    </r>
    <r>
      <rPr>
        <rFont val="Times New Roman"/>
        <color rgb="FF202124"/>
        <sz val="7.0"/>
      </rPr>
      <t xml:space="preserve">  </t>
    </r>
    <r>
      <rPr>
        <rFont val="Calibri"/>
        <color rgb="FF202124"/>
        <sz val="11.0"/>
      </rPr>
      <t>The absolute immission limits (LAq,day, LAeq,night) depend on the land’s zoning</t>
    </r>
  </si>
  <si>
    <r>
      <rPr>
        <rFont val="Noto Sans Symbols"/>
        <color rgb="FF202124"/>
        <sz val="11.0"/>
      </rPr>
      <t>¨</t>
    </r>
    <r>
      <rPr>
        <rFont val="Times New Roman"/>
        <color rgb="FF202124"/>
        <sz val="7.0"/>
      </rPr>
      <t xml:space="preserve">  </t>
    </r>
    <r>
      <rPr>
        <rFont val="Calibri"/>
        <color rgb="FF202124"/>
        <sz val="11.0"/>
      </rPr>
      <t>The differential immission limits are different for day and night</t>
    </r>
  </si>
  <si>
    <r>
      <rPr>
        <rFont val="Noto Sans Symbols"/>
        <color rgb="FF202124"/>
        <sz val="11.0"/>
      </rPr>
      <t>¨</t>
    </r>
    <r>
      <rPr>
        <rFont val="Times New Roman"/>
        <color rgb="FF202124"/>
        <sz val="7.0"/>
      </rPr>
      <t xml:space="preserve">  </t>
    </r>
    <r>
      <rPr>
        <rFont val="Calibri"/>
        <color rgb="FF202124"/>
        <sz val="11.0"/>
      </rPr>
      <t>The environmental noise level must be corrected for the presence of tonal components</t>
    </r>
  </si>
  <si>
    <r>
      <rPr>
        <rFont val="Noto Sans Symbols"/>
        <color rgb="FF202124"/>
        <sz val="11.0"/>
      </rPr>
      <t>¨</t>
    </r>
    <r>
      <rPr>
        <rFont val="Times New Roman"/>
        <color rgb="FF202124"/>
        <sz val="7.0"/>
      </rPr>
      <t xml:space="preserve">  </t>
    </r>
    <r>
      <rPr>
        <rFont val="Calibri"/>
        <color rgb="FF202124"/>
        <sz val="11.0"/>
      </rPr>
      <t>The environmental noise level must be corrected for the presence of impulsive components</t>
    </r>
  </si>
  <si>
    <r>
      <rPr>
        <rFont val="Noto Sans Symbols"/>
        <color rgb="FF202124"/>
        <sz val="11.0"/>
      </rPr>
      <t>¨</t>
    </r>
    <r>
      <rPr>
        <rFont val="Times New Roman"/>
        <color rgb="FF202124"/>
        <sz val="7.0"/>
      </rPr>
      <t xml:space="preserve">  </t>
    </r>
    <r>
      <rPr>
        <rFont val="Calibri"/>
        <color rgb="FF202124"/>
        <sz val="11.0"/>
      </rPr>
      <t>Lden is always larger than Lday for any noise profiles.</t>
    </r>
  </si>
  <si>
    <r>
      <rPr>
        <rFont val="Noto Sans Symbols"/>
        <color rgb="FF202124"/>
        <sz val="11.0"/>
      </rPr>
      <t>¨</t>
    </r>
    <r>
      <rPr>
        <rFont val="Times New Roman"/>
        <color rgb="FF202124"/>
        <sz val="7.0"/>
      </rPr>
      <t xml:space="preserve">  </t>
    </r>
    <r>
      <rPr>
        <rFont val="Calibri"/>
        <color rgb="FF202124"/>
        <sz val="11.0"/>
      </rPr>
      <t>Lnight measured according to the EN Directive is always equal or smaller than Lnight measured according to the old Italian law</t>
    </r>
  </si>
  <si>
    <r>
      <rPr>
        <rFont val="Calibri"/>
        <b/>
        <color rgb="FF000000"/>
        <sz val="11.0"/>
      </rPr>
      <t>3)</t>
    </r>
    <r>
      <rPr>
        <rFont val="Times New Roman"/>
        <b/>
        <color rgb="FF000000"/>
        <sz val="7.0"/>
      </rPr>
      <t xml:space="preserve">      </t>
    </r>
    <r>
      <rPr>
        <rFont val="Calibri"/>
        <b/>
        <color rgb="FF202124"/>
        <sz val="11.0"/>
      </rPr>
      <t>In a standing wave tube the value of the SWR  is 3+F/4. Compute the apparent absorption coefficient, α, of the sample inserted in the tube.</t>
    </r>
  </si>
  <si>
    <t>(write number and measurement unit)</t>
  </si>
  <si>
    <t>SWR =</t>
  </si>
  <si>
    <t>=</t>
  </si>
  <si>
    <r>
      <rPr>
        <rFont val="Calibri"/>
        <b/>
        <color rgb="FF000000"/>
        <sz val="11.0"/>
      </rPr>
      <t>4)</t>
    </r>
    <r>
      <rPr>
        <rFont val="Times New Roman"/>
        <b/>
        <color rgb="FF000000"/>
        <sz val="7.0"/>
      </rPr>
      <t xml:space="preserve">      </t>
    </r>
    <r>
      <rPr>
        <rFont val="Calibri"/>
        <b/>
        <color rgb="FF000000"/>
        <sz val="11.0"/>
      </rPr>
      <t>In a standing wave tube the intensity/density ratio (I/Dc) is 0.2+F/20. Compute the apparent absorption coefficient, α, of the sample inserted in the tube.</t>
    </r>
  </si>
  <si>
    <t>I/Dc =</t>
  </si>
  <si>
    <t xml:space="preserve"> </t>
  </si>
  <si>
    <r>
      <rPr>
        <rFont val="Calibri"/>
        <b/>
        <color rgb="FF000000"/>
        <sz val="11.0"/>
      </rPr>
      <t>5)</t>
    </r>
    <r>
      <rPr>
        <rFont val="Times New Roman"/>
        <b/>
        <color rgb="FF000000"/>
        <sz val="7.0"/>
      </rPr>
      <t xml:space="preserve">      </t>
    </r>
    <r>
      <rPr>
        <rFont val="Calibri"/>
        <b/>
        <color rgb="FF000000"/>
        <sz val="11.0"/>
      </rPr>
      <t>A measurement according to EN 1793/5 is performed on a noise barrier, resulting in a reduction of the level of reflected noise, DLri, equal to 3+E/4 dB(A). Compute the average reflection index, RI, of the barrier</t>
    </r>
  </si>
  <si>
    <t>DLri = 10*log10(1/RI) =</t>
  </si>
  <si>
    <t>dB</t>
  </si>
  <si>
    <t>RI=1/10^(DLri/10) =</t>
  </si>
  <si>
    <r>
      <rPr>
        <rFont val="Calibri"/>
        <b/>
        <color rgb="FF000000"/>
        <sz val="11.0"/>
      </rPr>
      <t>6)</t>
    </r>
    <r>
      <rPr>
        <rFont val="Times New Roman"/>
        <b/>
        <color rgb="FF000000"/>
        <sz val="7.0"/>
      </rPr>
      <t xml:space="preserve">      </t>
    </r>
    <r>
      <rPr>
        <rFont val="Calibri"/>
        <b/>
        <color rgb="FF000000"/>
        <sz val="11.0"/>
      </rPr>
      <t>A noise barrier creates an incremental path Delta of 0.5+F/10 m. The spectrum of the noise is flat (pink) between 125 Hz and 4 kHz. Compute the barrier attenuation in dB(A).</t>
    </r>
  </si>
  <si>
    <t>Delta =</t>
  </si>
  <si>
    <t>m</t>
  </si>
  <si>
    <t>c0 =</t>
  </si>
  <si>
    <t>m/s</t>
  </si>
  <si>
    <t>f (Hz)</t>
  </si>
  <si>
    <t>SUM (AW)</t>
  </si>
  <si>
    <t>Lsb (dB)</t>
  </si>
  <si>
    <t>A-weight</t>
  </si>
  <si>
    <t>LsB (dBA)</t>
  </si>
  <si>
    <t>10^(Lsb/10)</t>
  </si>
  <si>
    <r>
      <rPr>
        <rFont val="Calibri"/>
        <color rgb="FF000000"/>
        <sz val="11.0"/>
      </rPr>
      <t>N=2</t>
    </r>
    <r>
      <rPr>
        <rFont val="Symbol"/>
        <color rgb="FF000000"/>
        <sz val="11.0"/>
      </rPr>
      <t>d</t>
    </r>
    <r>
      <rPr>
        <rFont val="Calibri"/>
        <color rgb="FF000000"/>
        <sz val="11.0"/>
      </rPr>
      <t>/</t>
    </r>
    <r>
      <rPr>
        <rFont val="Symbol"/>
        <color rgb="FF000000"/>
        <sz val="11.0"/>
      </rPr>
      <t>l</t>
    </r>
    <r>
      <rPr>
        <rFont val="Calibri"/>
        <color rgb="FF000000"/>
        <sz val="11.0"/>
      </rPr>
      <t xml:space="preserve"> =</t>
    </r>
  </si>
  <si>
    <t>DeltaL</t>
  </si>
  <si>
    <t>LcB (dBA)</t>
  </si>
  <si>
    <t>10^(Lcb/10)</t>
  </si>
  <si>
    <t>Attenuation =</t>
  </si>
  <si>
    <r>
      <rPr>
        <rFont val="Calibri"/>
        <b/>
        <color rgb="FF000000"/>
        <sz val="11.0"/>
      </rPr>
      <t>7)</t>
    </r>
    <r>
      <rPr>
        <rFont val="Times New Roman"/>
        <b/>
        <color rgb="FF000000"/>
        <sz val="7.0"/>
      </rPr>
      <t xml:space="preserve">      </t>
    </r>
    <r>
      <rPr>
        <rFont val="Calibri"/>
        <b/>
        <color rgb="FF000000"/>
        <sz val="11.0"/>
      </rPr>
      <t>Compute the SEL for the following noise level profile:</t>
    </r>
  </si>
  <si>
    <t>Time</t>
  </si>
  <si>
    <t>Li (dBA)</t>
  </si>
  <si>
    <t>10^(Li/10)</t>
  </si>
  <si>
    <t>Average =</t>
  </si>
  <si>
    <t>Leq =</t>
  </si>
  <si>
    <t>T =</t>
  </si>
  <si>
    <t>h</t>
  </si>
  <si>
    <t>s</t>
  </si>
  <si>
    <t>SEL = Leq+10*log10(T) =</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</si>
</sst>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m/d/yyyy\ h:mm:ss"/>
    <numFmt numFmtId="165" formatCode="0.000"/>
    <numFmt numFmtId="166" formatCode="0.0"/>
  </numFmts>
  <fonts count="17">
    <font>
      <sz val="10.0"/>
      <color rgb="FF000000"/>
      <name val="Arial"/>
      <scheme val="minor"/>
    </font>
    <font>
      <sz val="10.0"/>
      <color theme="1"/>
      <name val="Calibri"/>
    </font>
    <font>
      <sz val="10.0"/>
      <color rgb="FF0000FF"/>
      <name val="Arial"/>
    </font>
    <font>
      <sz val="11.0"/>
      <color theme="1"/>
      <name val="Calibri"/>
    </font>
    <font>
      <b/>
      <sz val="11.0"/>
      <color theme="1"/>
      <name val="Calibri"/>
    </font>
    <font>
      <sz val="10.0"/>
      <color rgb="FF000000"/>
      <name val="Arial"/>
    </font>
    <font>
      <sz val="10.0"/>
      <color theme="1"/>
      <name val="Arial"/>
    </font>
    <font>
      <sz val="10.0"/>
      <color rgb="FF000000"/>
      <name val="Calibri"/>
    </font>
    <font>
      <b/>
      <sz val="10.0"/>
      <color rgb="FF000000"/>
      <name val="Arial"/>
    </font>
    <font>
      <b/>
      <sz val="10.0"/>
      <color rgb="FF000000"/>
      <name val="Calibri"/>
    </font>
    <font>
      <b/>
      <sz val="11.0"/>
      <color theme="1"/>
      <name val="Arial"/>
    </font>
    <font>
      <color theme="1"/>
      <name val="Arial"/>
      <scheme val="minor"/>
    </font>
    <font>
      <b/>
      <sz val="11.0"/>
      <color rgb="FF000000"/>
      <name val="Calibri"/>
    </font>
    <font>
      <sz val="11.0"/>
      <color rgb="FF000000"/>
      <name val="Calibri"/>
    </font>
    <font>
      <sz val="11.0"/>
      <color rgb="FF202124"/>
      <name val="Noto Sans Symbols"/>
    </font>
    <font>
      <sz val="11.0"/>
      <color rgb="FF202124"/>
      <name val="Calibri"/>
    </font>
    <font>
      <sz val="4.0"/>
      <color rgb="FF000000"/>
      <name val="Calibri"/>
    </font>
  </fonts>
  <fills count="10">
    <fill>
      <patternFill patternType="none"/>
    </fill>
    <fill>
      <patternFill patternType="lightGray"/>
    </fill>
    <fill>
      <patternFill patternType="solid">
        <fgColor rgb="FFD8D8D8"/>
        <bgColor rgb="FFD8D8D8"/>
      </patternFill>
    </fill>
    <fill>
      <patternFill patternType="solid">
        <fgColor rgb="FFBFBFBF"/>
        <bgColor rgb="FFBFBFBF"/>
      </patternFill>
    </fill>
    <fill>
      <patternFill patternType="solid">
        <fgColor rgb="FFFFFF00"/>
        <bgColor rgb="FFFFFF00"/>
      </patternFill>
    </fill>
    <fill>
      <patternFill patternType="solid">
        <fgColor rgb="FFFFC000"/>
        <bgColor rgb="FFFFC000"/>
      </patternFill>
    </fill>
    <fill>
      <patternFill patternType="solid">
        <fgColor rgb="FFFF0000"/>
        <bgColor rgb="FFFF0000"/>
      </patternFill>
    </fill>
    <fill>
      <patternFill patternType="solid">
        <fgColor rgb="FFFF99FF"/>
        <bgColor rgb="FFFF99FF"/>
      </patternFill>
    </fill>
    <fill>
      <patternFill patternType="solid">
        <fgColor rgb="FFB3CEFA"/>
        <bgColor rgb="FFB3CEFA"/>
      </patternFill>
    </fill>
    <fill>
      <patternFill patternType="solid">
        <fgColor rgb="FFD2F1DA"/>
        <bgColor rgb="FFD2F1DA"/>
      </patternFill>
    </fill>
  </fills>
  <borders count="17">
    <border/>
    <border>
      <left style="thin">
        <color rgb="FF000000"/>
      </left>
      <right style="thin">
        <color rgb="FF000000"/>
      </right>
      <top style="thick">
        <color rgb="FF000000"/>
      </top>
      <bottom style="thin">
        <color rgb="FF000000"/>
      </bottom>
    </border>
    <border>
      <left style="thin">
        <color rgb="FF000000"/>
      </left>
      <right style="thick">
        <color rgb="FF000000"/>
      </right>
      <top style="thick">
        <color rgb="FF000000"/>
      </top>
      <bottom style="thin">
        <color rgb="FF000000"/>
      </bottom>
    </border>
    <border>
      <left style="thick">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left style="thick">
        <color rgb="FF000000"/>
      </left>
      <right style="thin">
        <color rgb="FF000000"/>
      </right>
      <top style="thin">
        <color rgb="FF000000"/>
      </top>
      <bottom style="thick">
        <color rgb="FF000000"/>
      </bottom>
    </border>
    <border>
      <left style="thin">
        <color rgb="FF000000"/>
      </left>
      <right style="thin">
        <color rgb="FF000000"/>
      </right>
      <top style="thin">
        <color rgb="FF000000"/>
      </top>
      <bottom style="thick">
        <color rgb="FF000000"/>
      </bottom>
    </border>
    <border>
      <left style="thin">
        <color rgb="FF000000"/>
      </left>
      <right style="thick">
        <color rgb="FF000000"/>
      </right>
      <top style="thin">
        <color rgb="FF000000"/>
      </top>
      <bottom style="thick">
        <color rgb="FF000000"/>
      </bottom>
    </border>
    <border>
      <left/>
      <right/>
      <top/>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dotted">
        <color rgb="FF000000"/>
      </left>
      <right style="dotted">
        <color rgb="FF000000"/>
      </right>
      <top style="dotted">
        <color rgb="FF000000"/>
      </top>
      <bottom style="dotted">
        <color rgb="FF000000"/>
      </bottom>
    </border>
    <border>
      <left style="thick">
        <color rgb="FF000000"/>
      </left>
      <right style="thick">
        <color rgb="FF000000"/>
      </right>
      <top style="thick">
        <color rgb="FF000000"/>
      </top>
      <bottom style="thick">
        <color rgb="FF000000"/>
      </bottom>
    </border>
    <border>
      <left style="thick">
        <color rgb="FF000000"/>
      </left>
      <right/>
      <top style="thick">
        <color rgb="FF000000"/>
      </top>
      <bottom style="thick">
        <color rgb="FF000000"/>
      </bottom>
    </border>
    <border>
      <left/>
      <right style="thick">
        <color rgb="FF000000"/>
      </right>
      <top style="thick">
        <color rgb="FF000000"/>
      </top>
      <bottom style="thick">
        <color rgb="FF000000"/>
      </bottom>
    </border>
  </borders>
  <cellStyleXfs count="1">
    <xf borderId="0" fillId="0" fontId="0" numFmtId="0" applyAlignment="1" applyFont="1"/>
  </cellStyleXfs>
  <cellXfs count="70">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Alignment="1" applyBorder="1" applyFont="1">
      <alignment horizontal="left"/>
    </xf>
    <xf borderId="1" fillId="3" fontId="2" numFmtId="0" xfId="0" applyAlignment="1" applyBorder="1" applyFill="1" applyFont="1">
      <alignment horizontal="center" shrinkToFit="0" wrapText="1"/>
    </xf>
    <xf borderId="1" fillId="2" fontId="3" numFmtId="0" xfId="0" applyAlignment="1" applyBorder="1" applyFont="1">
      <alignment horizontal="right"/>
    </xf>
    <xf borderId="1" fillId="2" fontId="3" numFmtId="0" xfId="0" applyAlignment="1" applyBorder="1" applyFont="1">
      <alignment horizontal="center"/>
    </xf>
    <xf borderId="1" fillId="2" fontId="3" numFmtId="0" xfId="0" applyBorder="1" applyFont="1"/>
    <xf borderId="2" fillId="2" fontId="4" numFmtId="0" xfId="0" applyAlignment="1" applyBorder="1" applyFont="1">
      <alignment horizontal="center"/>
    </xf>
    <xf borderId="3" fillId="0" fontId="5" numFmtId="0" xfId="0" applyAlignment="1" applyBorder="1" applyFont="1">
      <alignment horizontal="center"/>
    </xf>
    <xf borderId="4" fillId="0" fontId="6" numFmtId="164" xfId="0" applyBorder="1" applyFont="1" applyNumberFormat="1"/>
    <xf borderId="4" fillId="0" fontId="6" numFmtId="0" xfId="0" applyBorder="1" applyFont="1"/>
    <xf borderId="4" fillId="0" fontId="6" numFmtId="0" xfId="0" applyAlignment="1" applyBorder="1" applyFont="1">
      <alignment horizontal="center"/>
    </xf>
    <xf borderId="4" fillId="0" fontId="3" numFmtId="0" xfId="0" applyAlignment="1" applyBorder="1" applyFont="1">
      <alignment horizontal="center"/>
    </xf>
    <xf borderId="4" fillId="0" fontId="3" numFmtId="165" xfId="0" applyBorder="1" applyFont="1" applyNumberFormat="1"/>
    <xf borderId="4" fillId="0" fontId="3" numFmtId="166" xfId="0" applyBorder="1" applyFont="1" applyNumberFormat="1"/>
    <xf borderId="4" fillId="0" fontId="7" numFmtId="0" xfId="0" applyBorder="1" applyFont="1"/>
    <xf borderId="5" fillId="0" fontId="8" numFmtId="0" xfId="0" applyAlignment="1" applyBorder="1" applyFont="1">
      <alignment horizontal="center"/>
    </xf>
    <xf borderId="4" fillId="4" fontId="6" numFmtId="0" xfId="0" applyBorder="1" applyFill="1" applyFont="1"/>
    <xf borderId="4" fillId="0" fontId="5" numFmtId="0" xfId="0" applyBorder="1" applyFont="1"/>
    <xf borderId="4" fillId="4" fontId="6" numFmtId="0" xfId="0" applyAlignment="1" applyBorder="1" applyFont="1">
      <alignment horizontal="center"/>
    </xf>
    <xf borderId="4" fillId="5" fontId="6" numFmtId="0" xfId="0" applyBorder="1" applyFill="1" applyFont="1"/>
    <xf borderId="4" fillId="6" fontId="6" numFmtId="0" xfId="0" applyBorder="1" applyFill="1" applyFont="1"/>
    <xf borderId="4" fillId="6" fontId="5" numFmtId="0" xfId="0" applyBorder="1" applyFont="1"/>
    <xf borderId="6" fillId="0" fontId="5" numFmtId="0" xfId="0" applyAlignment="1" applyBorder="1" applyFont="1">
      <alignment horizontal="center"/>
    </xf>
    <xf borderId="7" fillId="0" fontId="6" numFmtId="164" xfId="0" applyBorder="1" applyFont="1" applyNumberFormat="1"/>
    <xf borderId="7" fillId="0" fontId="6" numFmtId="0" xfId="0" applyBorder="1" applyFont="1"/>
    <xf borderId="7" fillId="7" fontId="6" numFmtId="0" xfId="0" applyAlignment="1" applyBorder="1" applyFill="1" applyFont="1">
      <alignment horizontal="center"/>
    </xf>
    <xf borderId="7" fillId="0" fontId="6" numFmtId="0" xfId="0" applyAlignment="1" applyBorder="1" applyFont="1">
      <alignment horizontal="center"/>
    </xf>
    <xf borderId="7" fillId="0" fontId="3" numFmtId="0" xfId="0" applyAlignment="1" applyBorder="1" applyFont="1">
      <alignment horizontal="center"/>
    </xf>
    <xf borderId="7" fillId="0" fontId="3" numFmtId="165" xfId="0" applyBorder="1" applyFont="1" applyNumberFormat="1"/>
    <xf borderId="7" fillId="0" fontId="5" numFmtId="0" xfId="0" applyBorder="1" applyFont="1"/>
    <xf borderId="7" fillId="0" fontId="3" numFmtId="166" xfId="0" applyBorder="1" applyFont="1" applyNumberFormat="1"/>
    <xf borderId="7" fillId="0" fontId="7" numFmtId="0" xfId="0" applyBorder="1" applyFont="1"/>
    <xf borderId="7" fillId="6" fontId="6" numFmtId="0" xfId="0" applyBorder="1" applyFont="1"/>
    <xf borderId="8" fillId="0" fontId="8" numFmtId="0" xfId="0" applyAlignment="1" applyBorder="1" applyFont="1">
      <alignment horizontal="center"/>
    </xf>
    <xf borderId="0" fillId="0" fontId="9" numFmtId="0" xfId="0" applyFont="1"/>
    <xf borderId="0" fillId="0" fontId="7" numFmtId="0" xfId="0" applyFont="1"/>
    <xf borderId="9" fillId="4" fontId="7" numFmtId="0" xfId="0" applyBorder="1" applyFont="1"/>
    <xf borderId="9" fillId="4" fontId="3" numFmtId="0" xfId="0" applyBorder="1" applyFont="1"/>
    <xf borderId="9" fillId="5" fontId="7" numFmtId="0" xfId="0" applyBorder="1" applyFont="1"/>
    <xf borderId="9" fillId="5" fontId="3" numFmtId="0" xfId="0" applyBorder="1" applyFont="1"/>
    <xf borderId="9" fillId="6" fontId="7" numFmtId="0" xfId="0" applyBorder="1" applyFont="1"/>
    <xf borderId="9" fillId="6" fontId="3" numFmtId="0" xfId="0" applyBorder="1" applyFont="1"/>
    <xf borderId="9" fillId="8" fontId="7" numFmtId="0" xfId="0" applyBorder="1" applyFill="1" applyFont="1"/>
    <xf borderId="9" fillId="7" fontId="5" numFmtId="0" xfId="0" applyBorder="1" applyFont="1"/>
    <xf borderId="0" fillId="0" fontId="10" numFmtId="0" xfId="0" applyFont="1"/>
    <xf borderId="0" fillId="0" fontId="11" numFmtId="0" xfId="0" applyFont="1"/>
    <xf borderId="10" fillId="0" fontId="5" numFmtId="0" xfId="0" applyAlignment="1" applyBorder="1" applyFont="1">
      <alignment horizontal="center"/>
    </xf>
    <xf borderId="11" fillId="0" fontId="5" numFmtId="0" xfId="0" applyAlignment="1" applyBorder="1" applyFont="1">
      <alignment horizontal="center"/>
    </xf>
    <xf borderId="12" fillId="0" fontId="5" numFmtId="0" xfId="0" applyAlignment="1" applyBorder="1" applyFont="1">
      <alignment horizontal="center"/>
    </xf>
    <xf borderId="13" fillId="0" fontId="6" numFmtId="0" xfId="0" applyAlignment="1" applyBorder="1" applyFont="1">
      <alignment horizontal="center"/>
    </xf>
    <xf borderId="0" fillId="0" fontId="12" numFmtId="0" xfId="0" applyAlignment="1" applyFont="1">
      <alignment horizontal="left" vertical="center"/>
    </xf>
    <xf borderId="0" fillId="0" fontId="13" numFmtId="0" xfId="0" applyAlignment="1" applyFont="1">
      <alignment horizontal="left" vertical="center"/>
    </xf>
    <xf borderId="9" fillId="4" fontId="14" numFmtId="0" xfId="0" applyAlignment="1" applyBorder="1" applyFont="1">
      <alignment horizontal="left" vertical="center"/>
    </xf>
    <xf borderId="9" fillId="4" fontId="5" numFmtId="0" xfId="0" applyBorder="1" applyFont="1"/>
    <xf borderId="0" fillId="0" fontId="14" numFmtId="0" xfId="0" applyAlignment="1" applyFont="1">
      <alignment horizontal="left" vertical="center"/>
    </xf>
    <xf borderId="0" fillId="0" fontId="15" numFmtId="0" xfId="0" applyAlignment="1" applyFont="1">
      <alignment horizontal="left" vertical="center"/>
    </xf>
    <xf borderId="0" fillId="0" fontId="12" numFmtId="0" xfId="0" applyAlignment="1" applyFont="1">
      <alignment vertical="center"/>
    </xf>
    <xf borderId="0" fillId="0" fontId="12" numFmtId="0" xfId="0" applyAlignment="1" applyFont="1">
      <alignment horizontal="left" shrinkToFit="0" vertical="center" wrapText="1"/>
    </xf>
    <xf borderId="0" fillId="0" fontId="5" numFmtId="0" xfId="0" applyAlignment="1" applyFont="1">
      <alignment horizontal="center"/>
    </xf>
    <xf borderId="14" fillId="4" fontId="8" numFmtId="165" xfId="0" applyBorder="1" applyFont="1" applyNumberFormat="1"/>
    <xf borderId="0" fillId="0" fontId="13" numFmtId="0" xfId="0" applyAlignment="1" applyFont="1">
      <alignment vertical="center"/>
    </xf>
    <xf borderId="0" fillId="0" fontId="5" numFmtId="0" xfId="0" applyFont="1"/>
    <xf borderId="0" fillId="0" fontId="5" numFmtId="0" xfId="0" applyAlignment="1" applyFont="1">
      <alignment horizontal="right"/>
    </xf>
    <xf borderId="0" fillId="0" fontId="7" numFmtId="0" xfId="0" applyAlignment="1" applyFont="1">
      <alignment vertical="center"/>
    </xf>
    <xf borderId="9" fillId="9" fontId="8" numFmtId="166" xfId="0" applyBorder="1" applyFill="1" applyFont="1" applyNumberFormat="1"/>
    <xf borderId="15" fillId="4" fontId="8" numFmtId="166" xfId="0" applyBorder="1" applyFont="1" applyNumberFormat="1"/>
    <xf borderId="16" fillId="4" fontId="8" numFmtId="165" xfId="0" applyBorder="1" applyFont="1" applyNumberFormat="1"/>
    <xf borderId="0" fillId="0" fontId="16" numFmtId="0" xfId="0" applyAlignment="1" applyFont="1">
      <alignment vertical="center"/>
    </xf>
    <xf borderId="15" fillId="4" fontId="8" numFmtId="165" xfId="0" applyBorder="1" applyFont="1" applyNumberFormat="1"/>
  </cellXfs>
  <cellStyles count="1">
    <cellStyle xfId="0" name="Normal" builtinId="0"/>
  </cellStyles>
  <dxfs count="3">
    <dxf>
      <font>
        <color theme="1"/>
      </font>
      <fill>
        <patternFill patternType="solid">
          <fgColor rgb="FFBFBFBF"/>
          <bgColor rgb="FFBFBFBF"/>
        </patternFill>
      </fill>
      <border/>
    </dxf>
    <dxf>
      <font>
        <color rgb="FF9C0006"/>
      </font>
      <fill>
        <patternFill patternType="solid">
          <fgColor rgb="FFFFC7CE"/>
          <bgColor rgb="FFFFC7CE"/>
        </patternFill>
      </fill>
      <border/>
    </dxf>
    <dxf>
      <font>
        <color rgb="FF006100"/>
      </font>
      <fill>
        <patternFill patternType="solid">
          <fgColor rgb="FFC6EFCE"/>
          <bgColor rgb="FFC6EFCE"/>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3.png"/><Relationship Id="rId3"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809625</xdr:colOff>
      <xdr:row>29</xdr:row>
      <xdr:rowOff>85725</xdr:rowOff>
    </xdr:from>
    <xdr:ext cx="1885950" cy="6953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53</xdr:row>
      <xdr:rowOff>0</xdr:rowOff>
    </xdr:from>
    <xdr:ext cx="4914900" cy="390525"/>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oneCellAnchor>
    <xdr:from>
      <xdr:col>3</xdr:col>
      <xdr:colOff>9525</xdr:colOff>
      <xdr:row>25</xdr:row>
      <xdr:rowOff>57150</xdr:rowOff>
    </xdr:from>
    <xdr:ext cx="1400175" cy="371475"/>
    <xdr:pic>
      <xdr:nvPicPr>
        <xdr:cNvPr id="0" name="image2.png"/>
        <xdr:cNvPicPr preferRelativeResize="0"/>
      </xdr:nvPicPr>
      <xdr:blipFill>
        <a:blip cstate="print" r:embed="rId3"/>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4.0" ySplit="1.0" topLeftCell="E2" activePane="bottomRight" state="frozen"/>
      <selection activeCell="E1" sqref="E1" pane="topRight"/>
      <selection activeCell="A2" sqref="A2" pane="bottomLeft"/>
      <selection activeCell="E2" sqref="E2" pane="bottomRight"/>
    </sheetView>
  </sheetViews>
  <sheetFormatPr customHeight="1" defaultColWidth="12.63" defaultRowHeight="15.0"/>
  <cols>
    <col customWidth="1" min="1" max="1" width="6.25"/>
    <col customWidth="1" min="2" max="2" width="18.88"/>
    <col customWidth="1" min="3" max="3" width="29.75"/>
    <col customWidth="1" min="4" max="4" width="18.88"/>
    <col customWidth="1" min="5" max="5" width="10.13"/>
    <col customWidth="1" min="6" max="11" width="3.13"/>
    <col customWidth="1" min="12" max="12" width="6.88"/>
    <col customWidth="1" min="13" max="13" width="18.88"/>
    <col customWidth="1" min="14" max="20" width="2.75"/>
    <col customWidth="1" min="21" max="21" width="18.88"/>
    <col customWidth="1" min="22" max="27" width="2.75"/>
    <col customWidth="1" min="28" max="28" width="18.88"/>
    <col customWidth="1" min="29" max="29" width="8.75"/>
    <col customWidth="1" min="30" max="30" width="6.13"/>
    <col customWidth="1" min="31" max="31" width="18.88"/>
    <col customWidth="1" min="32" max="32" width="9.0"/>
    <col customWidth="1" min="33" max="33" width="6.63"/>
    <col customWidth="1" min="34" max="34" width="18.88"/>
    <col customWidth="1" min="35" max="35" width="8.63"/>
    <col customWidth="1" min="36" max="36" width="6.13"/>
    <col customWidth="1" min="37" max="37" width="18.88"/>
    <col customWidth="1" min="38" max="38" width="8.63"/>
    <col customWidth="1" min="39" max="40" width="6.63"/>
    <col customWidth="1" min="41" max="41" width="18.88"/>
    <col customWidth="1" min="42" max="42" width="8.25"/>
    <col customWidth="1" min="43" max="43" width="7.13"/>
    <col customWidth="1" min="44" max="44" width="6.13"/>
    <col customWidth="1" min="45" max="45" width="10.25"/>
  </cols>
  <sheetData>
    <row r="1" ht="15.75" customHeight="1">
      <c r="A1" s="1" t="s">
        <v>0</v>
      </c>
      <c r="B1" s="1" t="s">
        <v>1</v>
      </c>
      <c r="C1" s="2" t="s">
        <v>2</v>
      </c>
      <c r="D1" s="2" t="s">
        <v>3</v>
      </c>
      <c r="E1" s="1" t="s">
        <v>4</v>
      </c>
      <c r="F1" s="3" t="s">
        <v>5</v>
      </c>
      <c r="G1" s="3" t="s">
        <v>6</v>
      </c>
      <c r="H1" s="3" t="s">
        <v>7</v>
      </c>
      <c r="I1" s="3" t="s">
        <v>8</v>
      </c>
      <c r="J1" s="3" t="s">
        <v>9</v>
      </c>
      <c r="K1" s="3" t="s">
        <v>10</v>
      </c>
      <c r="L1" s="1" t="s">
        <v>11</v>
      </c>
      <c r="M1" s="2" t="s">
        <v>12</v>
      </c>
      <c r="N1" s="1">
        <v>1.0</v>
      </c>
      <c r="O1" s="1">
        <v>1.0</v>
      </c>
      <c r="P1" s="1">
        <v>1.0</v>
      </c>
      <c r="Q1" s="1">
        <v>1.0</v>
      </c>
      <c r="R1" s="1">
        <v>-1.0</v>
      </c>
      <c r="S1" s="1">
        <v>1.0</v>
      </c>
      <c r="T1" s="1">
        <v>-1.0</v>
      </c>
      <c r="U1" s="2" t="s">
        <v>13</v>
      </c>
      <c r="V1" s="1">
        <v>1.0</v>
      </c>
      <c r="W1" s="1">
        <v>1.0</v>
      </c>
      <c r="X1" s="1">
        <v>1.0</v>
      </c>
      <c r="Y1" s="1">
        <v>1.0</v>
      </c>
      <c r="Z1" s="1">
        <v>-1.0</v>
      </c>
      <c r="AA1" s="1">
        <v>1.0</v>
      </c>
      <c r="AB1" s="2" t="s">
        <v>14</v>
      </c>
      <c r="AC1" s="4" t="s">
        <v>15</v>
      </c>
      <c r="AD1" s="5" t="s">
        <v>16</v>
      </c>
      <c r="AE1" s="2" t="s">
        <v>17</v>
      </c>
      <c r="AF1" s="4" t="s">
        <v>15</v>
      </c>
      <c r="AG1" s="5" t="s">
        <v>16</v>
      </c>
      <c r="AH1" s="2" t="s">
        <v>18</v>
      </c>
      <c r="AI1" s="4" t="s">
        <v>15</v>
      </c>
      <c r="AJ1" s="5" t="s">
        <v>16</v>
      </c>
      <c r="AK1" s="2" t="s">
        <v>19</v>
      </c>
      <c r="AL1" s="4" t="s">
        <v>15</v>
      </c>
      <c r="AM1" s="6" t="s">
        <v>20</v>
      </c>
      <c r="AN1" s="5" t="s">
        <v>16</v>
      </c>
      <c r="AO1" s="2" t="s">
        <v>21</v>
      </c>
      <c r="AP1" s="4" t="s">
        <v>15</v>
      </c>
      <c r="AQ1" s="6" t="s">
        <v>20</v>
      </c>
      <c r="AR1" s="5" t="s">
        <v>16</v>
      </c>
      <c r="AS1" s="7" t="s">
        <v>22</v>
      </c>
    </row>
    <row r="2" ht="15.75" customHeight="1">
      <c r="A2" s="8">
        <v>1.0</v>
      </c>
      <c r="B2" s="9">
        <v>45257.65929703704</v>
      </c>
      <c r="C2" s="10" t="s">
        <v>23</v>
      </c>
      <c r="D2" s="10" t="s">
        <v>24</v>
      </c>
      <c r="E2" s="11">
        <v>365865.0</v>
      </c>
      <c r="F2" s="11">
        <f t="shared" ref="F2:F6" si="1">INT(E2/100000)</f>
        <v>3</v>
      </c>
      <c r="G2" s="11">
        <f t="shared" ref="G2:G6" si="2">INT(($E2-100000*F2)/10000)</f>
        <v>6</v>
      </c>
      <c r="H2" s="11">
        <f t="shared" ref="H2:H6" si="3">INT(($E2-100000*F2-10000*G2)/1000)</f>
        <v>5</v>
      </c>
      <c r="I2" s="11">
        <f t="shared" ref="I2:I6" si="4">INT(($E2-100000*$F2-10000*$G2-1000*$H2)/100)</f>
        <v>8</v>
      </c>
      <c r="J2" s="11">
        <f t="shared" ref="J2:J6" si="5">INT(($E2-100000*$F2-10000*$G2-1000*$H2-100*$I2)/10)</f>
        <v>6</v>
      </c>
      <c r="K2" s="11">
        <f t="shared" ref="K2:K6" si="6">INT(($E2-100000*$F2-10000*$G2-1000*$H2-100*$I2-10*$J2))</f>
        <v>5</v>
      </c>
      <c r="L2" s="12">
        <v>1.0</v>
      </c>
      <c r="M2" s="10" t="s">
        <v>25</v>
      </c>
      <c r="N2" s="12">
        <f t="shared" ref="N2:N15" si="7">IF(ISERROR(FIND("ISO354",M2,1)),0,N$1)</f>
        <v>0</v>
      </c>
      <c r="O2" s="12">
        <f t="shared" ref="O2:O15" si="8">IF(ISERROR(FIND("standing wave tube",M2,1)),0,O$1)</f>
        <v>1</v>
      </c>
      <c r="P2" s="12">
        <f t="shared" ref="P2:P15" si="9">IF(ISERROR(FIND("EN 1793-5",M2,1)),0,P$1)</f>
        <v>0</v>
      </c>
      <c r="Q2" s="12">
        <f t="shared" ref="Q2:Q15" si="10">IF(ISERROR(FIND("sound intensity method",M2,1)),0,Q$1)</f>
        <v>1</v>
      </c>
      <c r="R2" s="12">
        <f t="shared" ref="R2:R15" si="11">IF(ISERROR(FIND("Sabine formula",M2,1)),0,R$1)</f>
        <v>0</v>
      </c>
      <c r="S2" s="12">
        <f t="shared" ref="S2:S15" si="12">IF(ISERROR(FIND("computer programs",M2,1)),0,S$1)</f>
        <v>1</v>
      </c>
      <c r="T2" s="12">
        <f t="shared" ref="T2:T15" si="13">IF(ISERROR(FIND("scattering coefficient",M2,1)),0,T$1)</f>
        <v>0</v>
      </c>
      <c r="U2" s="10" t="s">
        <v>26</v>
      </c>
      <c r="V2" s="12">
        <f t="shared" ref="V2:V15" si="14">IF(ISERROR(FIND("absolute immission limits",U2,1)),0,V$1)</f>
        <v>1</v>
      </c>
      <c r="W2" s="12">
        <f t="shared" ref="W2:W15" si="15">IF(ISERROR(FIND("differential immission limits",U2,1)),0,W$1)</f>
        <v>1</v>
      </c>
      <c r="X2" s="12">
        <f t="shared" ref="X2:X15" si="16">IF(ISERROR(FIND("tonal components",U2,1)),0,X$1)</f>
        <v>1</v>
      </c>
      <c r="Y2" s="12">
        <f t="shared" ref="Y2:Y15" si="17">IF(ISERROR(FIND("impulsive components",U2,1)),0,Y$1)</f>
        <v>1</v>
      </c>
      <c r="Z2" s="12">
        <f t="shared" ref="Z2:Z15" si="18">IF(ISERROR(FIND("Lden",U2,1)),0,Z$1)</f>
        <v>0</v>
      </c>
      <c r="AA2" s="12">
        <f t="shared" ref="AA2:AA15" si="19">IF(ISERROR(FIND("Lnight",U2,1)),0,AA$1)</f>
        <v>0</v>
      </c>
      <c r="AB2" s="10">
        <v>0.6167</v>
      </c>
      <c r="AC2" s="13">
        <f t="shared" ref="AC2:AC15" si="20">1-((3+K2/4-1)/(3+K2/4+1))^2</f>
        <v>0.6167800454</v>
      </c>
      <c r="AD2" s="12">
        <f t="shared" ref="AD2:AD6" si="21">IF(AB2="",0,IF(ABS(AB2-AC2)&lt;=0.1,1,-1))</f>
        <v>1</v>
      </c>
      <c r="AE2" s="10">
        <v>0.6206</v>
      </c>
      <c r="AF2" s="13">
        <f t="shared" ref="AF2:AF15" si="22">1-(1-0.2-K2/20)/(1+0.2+K2/20)</f>
        <v>0.6206896552</v>
      </c>
      <c r="AG2" s="12">
        <f t="shared" ref="AG2:AG6" si="23">IF(AE2="",0,IF(ABS(AE2-AF2)&lt;=0.1,1,-1))</f>
        <v>1</v>
      </c>
      <c r="AH2" s="10">
        <v>0.35</v>
      </c>
      <c r="AI2" s="13">
        <f t="shared" ref="AI2:AI15" si="24">1/10^((3+J2/4)/10)</f>
        <v>0.3548133892</v>
      </c>
      <c r="AJ2" s="12">
        <f t="shared" ref="AJ2:AJ6" si="25">IF(AH2="",0,IF(ABS(AH2-AI2)&lt;=0.1,1,-1))</f>
        <v>1</v>
      </c>
      <c r="AK2" s="10" t="s">
        <v>27</v>
      </c>
      <c r="AL2" s="14">
        <v>21.5</v>
      </c>
      <c r="AM2" s="15" t="s">
        <v>28</v>
      </c>
      <c r="AN2" s="12">
        <f t="shared" ref="AN2:AN6" si="26">IF(AK2="",0,IF(EXACT(RIGHT(AK2,5),AM2),IF(ABS(VALUE(LEFT(AK2,FIND(" ",AK2,1)))-AL2)&lt;=0.5,1,-1),-1))</f>
        <v>-1</v>
      </c>
      <c r="AO2" s="10" t="s">
        <v>29</v>
      </c>
      <c r="AP2" s="14">
        <f t="shared" ref="AP2:AP15" si="27">10*LOG10((2*10^((80+H2/2)/10)+1*10^((75+I2/2)/10)+3*10^((70+J2)/10)+4*10^((73+K2)/10))/10)+10*LOG10(10*3600)</f>
        <v>124.6312426</v>
      </c>
      <c r="AQ2" s="15" t="s">
        <v>28</v>
      </c>
      <c r="AR2" s="12">
        <f>IF(AO2="",0,IF(EXACT(RIGHT(AO2,5),AQ2),IF(ABS(VALUE(LEFT(AO2,FIND(" ",AO2,1)))-AP2)&lt;=0.5,1,-1),-1))</f>
        <v>1</v>
      </c>
      <c r="AS2" s="16">
        <f t="shared" ref="AS2:AS15" si="28">L2+SUM(N2:T2)+SUM(V2:AA2)+AD2+AG2+AJ2+AN2+AR2</f>
        <v>11</v>
      </c>
    </row>
    <row r="3" ht="15.75" customHeight="1">
      <c r="A3" s="8">
        <v>2.0</v>
      </c>
      <c r="B3" s="9">
        <v>45257.65989946759</v>
      </c>
      <c r="C3" s="10" t="s">
        <v>30</v>
      </c>
      <c r="D3" s="10" t="s">
        <v>31</v>
      </c>
      <c r="E3" s="11">
        <v>365868.0</v>
      </c>
      <c r="F3" s="11">
        <f t="shared" si="1"/>
        <v>3</v>
      </c>
      <c r="G3" s="11">
        <f t="shared" si="2"/>
        <v>6</v>
      </c>
      <c r="H3" s="11">
        <f t="shared" si="3"/>
        <v>5</v>
      </c>
      <c r="I3" s="11">
        <f t="shared" si="4"/>
        <v>8</v>
      </c>
      <c r="J3" s="11">
        <f t="shared" si="5"/>
        <v>6</v>
      </c>
      <c r="K3" s="11">
        <f t="shared" si="6"/>
        <v>8</v>
      </c>
      <c r="L3" s="12">
        <v>1.0</v>
      </c>
      <c r="M3" s="10" t="s">
        <v>25</v>
      </c>
      <c r="N3" s="12">
        <f t="shared" si="7"/>
        <v>0</v>
      </c>
      <c r="O3" s="12">
        <f t="shared" si="8"/>
        <v>1</v>
      </c>
      <c r="P3" s="12">
        <f t="shared" si="9"/>
        <v>0</v>
      </c>
      <c r="Q3" s="12">
        <f t="shared" si="10"/>
        <v>1</v>
      </c>
      <c r="R3" s="12">
        <f t="shared" si="11"/>
        <v>0</v>
      </c>
      <c r="S3" s="12">
        <f t="shared" si="12"/>
        <v>1</v>
      </c>
      <c r="T3" s="12">
        <f t="shared" si="13"/>
        <v>0</v>
      </c>
      <c r="U3" s="10" t="s">
        <v>32</v>
      </c>
      <c r="V3" s="12">
        <f t="shared" si="14"/>
        <v>0</v>
      </c>
      <c r="W3" s="12">
        <f t="shared" si="15"/>
        <v>0</v>
      </c>
      <c r="X3" s="12">
        <f t="shared" si="16"/>
        <v>1</v>
      </c>
      <c r="Y3" s="12">
        <f t="shared" si="17"/>
        <v>0</v>
      </c>
      <c r="Z3" s="12">
        <f t="shared" si="18"/>
        <v>0</v>
      </c>
      <c r="AA3" s="12">
        <f t="shared" si="19"/>
        <v>0</v>
      </c>
      <c r="AB3" s="10">
        <v>0.556</v>
      </c>
      <c r="AC3" s="13">
        <f t="shared" si="20"/>
        <v>0.5555555556</v>
      </c>
      <c r="AD3" s="12">
        <f t="shared" si="21"/>
        <v>1</v>
      </c>
      <c r="AE3" s="10">
        <v>0.75</v>
      </c>
      <c r="AF3" s="13">
        <f t="shared" si="22"/>
        <v>0.75</v>
      </c>
      <c r="AG3" s="12">
        <f t="shared" si="23"/>
        <v>1</v>
      </c>
      <c r="AH3" s="10">
        <v>3.162277E-5</v>
      </c>
      <c r="AI3" s="13">
        <f t="shared" si="24"/>
        <v>0.3548133892</v>
      </c>
      <c r="AJ3" s="12">
        <f t="shared" si="25"/>
        <v>-1</v>
      </c>
      <c r="AK3" s="10" t="s">
        <v>33</v>
      </c>
      <c r="AL3" s="14">
        <v>22.6</v>
      </c>
      <c r="AM3" s="15" t="s">
        <v>28</v>
      </c>
      <c r="AN3" s="12">
        <f t="shared" si="26"/>
        <v>-1</v>
      </c>
      <c r="AO3" s="17" t="s">
        <v>34</v>
      </c>
      <c r="AP3" s="14">
        <f t="shared" si="27"/>
        <v>125.8082553</v>
      </c>
      <c r="AQ3" s="15" t="s">
        <v>28</v>
      </c>
      <c r="AR3" s="12">
        <v>1.0</v>
      </c>
      <c r="AS3" s="16">
        <f t="shared" si="28"/>
        <v>6</v>
      </c>
    </row>
    <row r="4" ht="15.75" customHeight="1">
      <c r="A4" s="8">
        <v>3.0</v>
      </c>
      <c r="B4" s="9">
        <v>45257.66382068287</v>
      </c>
      <c r="C4" s="10" t="s">
        <v>35</v>
      </c>
      <c r="D4" s="10" t="s">
        <v>36</v>
      </c>
      <c r="E4" s="11">
        <v>364663.0</v>
      </c>
      <c r="F4" s="11">
        <f t="shared" si="1"/>
        <v>3</v>
      </c>
      <c r="G4" s="11">
        <f t="shared" si="2"/>
        <v>6</v>
      </c>
      <c r="H4" s="11">
        <f t="shared" si="3"/>
        <v>4</v>
      </c>
      <c r="I4" s="11">
        <f t="shared" si="4"/>
        <v>6</v>
      </c>
      <c r="J4" s="11">
        <f t="shared" si="5"/>
        <v>6</v>
      </c>
      <c r="K4" s="11">
        <f t="shared" si="6"/>
        <v>3</v>
      </c>
      <c r="L4" s="12">
        <v>1.0</v>
      </c>
      <c r="M4" s="10" t="s">
        <v>37</v>
      </c>
      <c r="N4" s="12">
        <f t="shared" si="7"/>
        <v>1</v>
      </c>
      <c r="O4" s="12">
        <f t="shared" si="8"/>
        <v>0</v>
      </c>
      <c r="P4" s="12">
        <f t="shared" si="9"/>
        <v>0</v>
      </c>
      <c r="Q4" s="12">
        <f t="shared" si="10"/>
        <v>1</v>
      </c>
      <c r="R4" s="12">
        <f t="shared" si="11"/>
        <v>0</v>
      </c>
      <c r="S4" s="12">
        <f t="shared" si="12"/>
        <v>1</v>
      </c>
      <c r="T4" s="12">
        <f t="shared" si="13"/>
        <v>-1</v>
      </c>
      <c r="U4" s="10" t="s">
        <v>38</v>
      </c>
      <c r="V4" s="12">
        <f t="shared" si="14"/>
        <v>1</v>
      </c>
      <c r="W4" s="12">
        <f t="shared" si="15"/>
        <v>0</v>
      </c>
      <c r="X4" s="12">
        <f t="shared" si="16"/>
        <v>0</v>
      </c>
      <c r="Y4" s="12">
        <f t="shared" si="17"/>
        <v>1</v>
      </c>
      <c r="Z4" s="12">
        <f t="shared" si="18"/>
        <v>-1</v>
      </c>
      <c r="AA4" s="12">
        <f t="shared" si="19"/>
        <v>0</v>
      </c>
      <c r="AB4" s="10">
        <v>0.66</v>
      </c>
      <c r="AC4" s="13">
        <f t="shared" si="20"/>
        <v>0.6648199446</v>
      </c>
      <c r="AD4" s="12">
        <f t="shared" si="21"/>
        <v>1</v>
      </c>
      <c r="AE4" s="10">
        <v>0.65</v>
      </c>
      <c r="AF4" s="13">
        <f t="shared" si="22"/>
        <v>0.5185185185</v>
      </c>
      <c r="AG4" s="12">
        <f t="shared" si="23"/>
        <v>-1</v>
      </c>
      <c r="AH4" s="18"/>
      <c r="AI4" s="13">
        <f t="shared" si="24"/>
        <v>0.3548133892</v>
      </c>
      <c r="AJ4" s="12">
        <f t="shared" si="25"/>
        <v>0</v>
      </c>
      <c r="AK4" s="18"/>
      <c r="AL4" s="14">
        <v>20.6</v>
      </c>
      <c r="AM4" s="15" t="s">
        <v>28</v>
      </c>
      <c r="AN4" s="12">
        <f t="shared" si="26"/>
        <v>0</v>
      </c>
      <c r="AO4" s="10" t="s">
        <v>39</v>
      </c>
      <c r="AP4" s="14">
        <f t="shared" si="27"/>
        <v>123.7502273</v>
      </c>
      <c r="AQ4" s="15" t="s">
        <v>28</v>
      </c>
      <c r="AR4" s="12">
        <f t="shared" ref="AR4:AR8" si="29">IF(AO4="",0,IF(EXACT(RIGHT(AO4,5),AQ4),IF(ABS(VALUE(LEFT(AO4,FIND(" ",AO4,1)))-AP4)&lt;=0.5,1,-1),-1))</f>
        <v>-1</v>
      </c>
      <c r="AS4" s="16">
        <f t="shared" si="28"/>
        <v>3</v>
      </c>
    </row>
    <row r="5" ht="15.75" customHeight="1">
      <c r="A5" s="8">
        <v>4.0</v>
      </c>
      <c r="B5" s="9">
        <v>45257.6650943287</v>
      </c>
      <c r="C5" s="10" t="s">
        <v>40</v>
      </c>
      <c r="D5" s="10" t="s">
        <v>41</v>
      </c>
      <c r="E5" s="11">
        <v>366043.0</v>
      </c>
      <c r="F5" s="11">
        <f t="shared" si="1"/>
        <v>3</v>
      </c>
      <c r="G5" s="11">
        <f t="shared" si="2"/>
        <v>6</v>
      </c>
      <c r="H5" s="11">
        <f t="shared" si="3"/>
        <v>6</v>
      </c>
      <c r="I5" s="11">
        <f t="shared" si="4"/>
        <v>0</v>
      </c>
      <c r="J5" s="11">
        <f t="shared" si="5"/>
        <v>4</v>
      </c>
      <c r="K5" s="11">
        <f t="shared" si="6"/>
        <v>3</v>
      </c>
      <c r="L5" s="12">
        <v>1.0</v>
      </c>
      <c r="M5" s="10" t="s">
        <v>25</v>
      </c>
      <c r="N5" s="12">
        <f t="shared" si="7"/>
        <v>0</v>
      </c>
      <c r="O5" s="12">
        <f t="shared" si="8"/>
        <v>1</v>
      </c>
      <c r="P5" s="12">
        <f t="shared" si="9"/>
        <v>0</v>
      </c>
      <c r="Q5" s="12">
        <f t="shared" si="10"/>
        <v>1</v>
      </c>
      <c r="R5" s="12">
        <f t="shared" si="11"/>
        <v>0</v>
      </c>
      <c r="S5" s="12">
        <f t="shared" si="12"/>
        <v>1</v>
      </c>
      <c r="T5" s="12">
        <f t="shared" si="13"/>
        <v>0</v>
      </c>
      <c r="U5" s="10" t="s">
        <v>26</v>
      </c>
      <c r="V5" s="12">
        <f t="shared" si="14"/>
        <v>1</v>
      </c>
      <c r="W5" s="12">
        <f t="shared" si="15"/>
        <v>1</v>
      </c>
      <c r="X5" s="12">
        <f t="shared" si="16"/>
        <v>1</v>
      </c>
      <c r="Y5" s="12">
        <f t="shared" si="17"/>
        <v>1</v>
      </c>
      <c r="Z5" s="12">
        <f t="shared" si="18"/>
        <v>0</v>
      </c>
      <c r="AA5" s="12">
        <f t="shared" si="19"/>
        <v>0</v>
      </c>
      <c r="AB5" s="10">
        <v>0.665</v>
      </c>
      <c r="AC5" s="13">
        <f t="shared" si="20"/>
        <v>0.6648199446</v>
      </c>
      <c r="AD5" s="12">
        <f t="shared" si="21"/>
        <v>1</v>
      </c>
      <c r="AE5" s="10">
        <v>0.518</v>
      </c>
      <c r="AF5" s="13">
        <f t="shared" si="22"/>
        <v>0.5185185185</v>
      </c>
      <c r="AG5" s="12">
        <f t="shared" si="23"/>
        <v>1</v>
      </c>
      <c r="AH5" s="18"/>
      <c r="AI5" s="13">
        <f t="shared" si="24"/>
        <v>0.3981071706</v>
      </c>
      <c r="AJ5" s="12">
        <f t="shared" si="25"/>
        <v>0</v>
      </c>
      <c r="AK5" s="18"/>
      <c r="AL5" s="14">
        <v>20.6</v>
      </c>
      <c r="AM5" s="15" t="s">
        <v>28</v>
      </c>
      <c r="AN5" s="12">
        <f t="shared" si="26"/>
        <v>0</v>
      </c>
      <c r="AO5" s="18"/>
      <c r="AP5" s="14">
        <f t="shared" si="27"/>
        <v>123.7930351</v>
      </c>
      <c r="AQ5" s="15" t="s">
        <v>28</v>
      </c>
      <c r="AR5" s="12">
        <f t="shared" si="29"/>
        <v>0</v>
      </c>
      <c r="AS5" s="16">
        <f t="shared" si="28"/>
        <v>10</v>
      </c>
    </row>
    <row r="6" ht="15.75" customHeight="1">
      <c r="A6" s="8">
        <v>5.0</v>
      </c>
      <c r="B6" s="9">
        <v>45257.66536451389</v>
      </c>
      <c r="C6" s="10" t="s">
        <v>42</v>
      </c>
      <c r="D6" s="10" t="s">
        <v>43</v>
      </c>
      <c r="E6" s="11">
        <v>363610.0</v>
      </c>
      <c r="F6" s="11">
        <f t="shared" si="1"/>
        <v>3</v>
      </c>
      <c r="G6" s="11">
        <f t="shared" si="2"/>
        <v>6</v>
      </c>
      <c r="H6" s="11">
        <f t="shared" si="3"/>
        <v>3</v>
      </c>
      <c r="I6" s="11">
        <f t="shared" si="4"/>
        <v>6</v>
      </c>
      <c r="J6" s="11">
        <f t="shared" si="5"/>
        <v>1</v>
      </c>
      <c r="K6" s="11">
        <f t="shared" si="6"/>
        <v>0</v>
      </c>
      <c r="L6" s="12">
        <v>1.0</v>
      </c>
      <c r="M6" s="10" t="s">
        <v>44</v>
      </c>
      <c r="N6" s="12">
        <f t="shared" si="7"/>
        <v>0</v>
      </c>
      <c r="O6" s="12">
        <f t="shared" si="8"/>
        <v>1</v>
      </c>
      <c r="P6" s="12">
        <f t="shared" si="9"/>
        <v>1</v>
      </c>
      <c r="Q6" s="12">
        <f t="shared" si="10"/>
        <v>1</v>
      </c>
      <c r="R6" s="12">
        <f t="shared" si="11"/>
        <v>0</v>
      </c>
      <c r="S6" s="12">
        <f t="shared" si="12"/>
        <v>0</v>
      </c>
      <c r="T6" s="12">
        <f t="shared" si="13"/>
        <v>-1</v>
      </c>
      <c r="U6" s="10" t="s">
        <v>45</v>
      </c>
      <c r="V6" s="12">
        <f t="shared" si="14"/>
        <v>0</v>
      </c>
      <c r="W6" s="12">
        <f t="shared" si="15"/>
        <v>1</v>
      </c>
      <c r="X6" s="12">
        <f t="shared" si="16"/>
        <v>1</v>
      </c>
      <c r="Y6" s="12">
        <f t="shared" si="17"/>
        <v>1</v>
      </c>
      <c r="Z6" s="12">
        <f t="shared" si="18"/>
        <v>0</v>
      </c>
      <c r="AA6" s="12">
        <f t="shared" si="19"/>
        <v>0</v>
      </c>
      <c r="AB6" s="10">
        <v>0.98</v>
      </c>
      <c r="AC6" s="13">
        <f t="shared" si="20"/>
        <v>0.75</v>
      </c>
      <c r="AD6" s="12">
        <f t="shared" si="21"/>
        <v>-1</v>
      </c>
      <c r="AE6" s="10">
        <v>0.33</v>
      </c>
      <c r="AF6" s="13">
        <f t="shared" si="22"/>
        <v>0.3333333333</v>
      </c>
      <c r="AG6" s="12">
        <f t="shared" si="23"/>
        <v>1</v>
      </c>
      <c r="AH6" s="18"/>
      <c r="AI6" s="13">
        <f t="shared" si="24"/>
        <v>0.473151259</v>
      </c>
      <c r="AJ6" s="12">
        <f t="shared" si="25"/>
        <v>0</v>
      </c>
      <c r="AK6" s="18"/>
      <c r="AL6" s="14">
        <v>18.7</v>
      </c>
      <c r="AM6" s="15" t="s">
        <v>28</v>
      </c>
      <c r="AN6" s="12">
        <f t="shared" si="26"/>
        <v>0</v>
      </c>
      <c r="AO6" s="10" t="s">
        <v>46</v>
      </c>
      <c r="AP6" s="14">
        <f t="shared" si="27"/>
        <v>122.220537</v>
      </c>
      <c r="AQ6" s="15" t="s">
        <v>28</v>
      </c>
      <c r="AR6" s="12">
        <f t="shared" si="29"/>
        <v>-1</v>
      </c>
      <c r="AS6" s="16">
        <f t="shared" si="28"/>
        <v>5</v>
      </c>
    </row>
    <row r="7" ht="15.75" customHeight="1">
      <c r="A7" s="8">
        <v>6.0</v>
      </c>
      <c r="B7" s="9">
        <v>45257.66693305556</v>
      </c>
      <c r="C7" s="10" t="s">
        <v>47</v>
      </c>
      <c r="D7" s="10" t="s">
        <v>48</v>
      </c>
      <c r="E7" s="19" t="s">
        <v>49</v>
      </c>
      <c r="F7" s="11">
        <v>3.0</v>
      </c>
      <c r="G7" s="11">
        <v>6.0</v>
      </c>
      <c r="H7" s="11">
        <v>7.0</v>
      </c>
      <c r="I7" s="11">
        <v>5.0</v>
      </c>
      <c r="J7" s="11">
        <v>0.0</v>
      </c>
      <c r="K7" s="11">
        <v>4.0</v>
      </c>
      <c r="L7" s="12">
        <v>1.0</v>
      </c>
      <c r="M7" s="10" t="s">
        <v>25</v>
      </c>
      <c r="N7" s="12">
        <f t="shared" si="7"/>
        <v>0</v>
      </c>
      <c r="O7" s="12">
        <f t="shared" si="8"/>
        <v>1</v>
      </c>
      <c r="P7" s="12">
        <f t="shared" si="9"/>
        <v>0</v>
      </c>
      <c r="Q7" s="12">
        <f t="shared" si="10"/>
        <v>1</v>
      </c>
      <c r="R7" s="12">
        <f t="shared" si="11"/>
        <v>0</v>
      </c>
      <c r="S7" s="12">
        <f t="shared" si="12"/>
        <v>1</v>
      </c>
      <c r="T7" s="12">
        <f t="shared" si="13"/>
        <v>0</v>
      </c>
      <c r="U7" s="10" t="s">
        <v>45</v>
      </c>
      <c r="V7" s="12">
        <f t="shared" si="14"/>
        <v>0</v>
      </c>
      <c r="W7" s="12">
        <f t="shared" si="15"/>
        <v>1</v>
      </c>
      <c r="X7" s="12">
        <f t="shared" si="16"/>
        <v>1</v>
      </c>
      <c r="Y7" s="12">
        <f t="shared" si="17"/>
        <v>1</v>
      </c>
      <c r="Z7" s="12">
        <f t="shared" si="18"/>
        <v>0</v>
      </c>
      <c r="AA7" s="12">
        <f t="shared" si="19"/>
        <v>0</v>
      </c>
      <c r="AB7" s="20" t="s">
        <v>50</v>
      </c>
      <c r="AC7" s="13">
        <f t="shared" si="20"/>
        <v>0.64</v>
      </c>
      <c r="AD7" s="12">
        <v>0.0</v>
      </c>
      <c r="AE7" s="20" t="s">
        <v>51</v>
      </c>
      <c r="AF7" s="13">
        <f t="shared" si="22"/>
        <v>0.5714285714</v>
      </c>
      <c r="AG7" s="12">
        <v>0.0</v>
      </c>
      <c r="AH7" s="21" t="s">
        <v>52</v>
      </c>
      <c r="AI7" s="13">
        <f t="shared" si="24"/>
        <v>0.5011872336</v>
      </c>
      <c r="AJ7" s="12">
        <v>-1.0</v>
      </c>
      <c r="AK7" s="20" t="s">
        <v>53</v>
      </c>
      <c r="AL7" s="14">
        <v>21.1</v>
      </c>
      <c r="AM7" s="15" t="s">
        <v>28</v>
      </c>
      <c r="AN7" s="12">
        <v>-1.0</v>
      </c>
      <c r="AO7" s="20" t="s">
        <v>54</v>
      </c>
      <c r="AP7" s="14">
        <f t="shared" si="27"/>
        <v>124.2226666</v>
      </c>
      <c r="AQ7" s="15" t="s">
        <v>28</v>
      </c>
      <c r="AR7" s="12">
        <f t="shared" si="29"/>
        <v>-1</v>
      </c>
      <c r="AS7" s="16">
        <f t="shared" si="28"/>
        <v>4</v>
      </c>
    </row>
    <row r="8" ht="15.75" customHeight="1">
      <c r="A8" s="8">
        <v>7.0</v>
      </c>
      <c r="B8" s="9">
        <v>45257.667163252314</v>
      </c>
      <c r="C8" s="10" t="s">
        <v>55</v>
      </c>
      <c r="D8" s="10" t="s">
        <v>56</v>
      </c>
      <c r="E8" s="11">
        <v>365846.0</v>
      </c>
      <c r="F8" s="11">
        <f t="shared" ref="F8:F10" si="30">INT(E8/100000)</f>
        <v>3</v>
      </c>
      <c r="G8" s="11">
        <f t="shared" ref="G8:G10" si="31">INT(($E8-100000*F8)/10000)</f>
        <v>6</v>
      </c>
      <c r="H8" s="11">
        <f t="shared" ref="H8:H10" si="32">INT(($E8-100000*F8-10000*G8)/1000)</f>
        <v>5</v>
      </c>
      <c r="I8" s="11">
        <f t="shared" ref="I8:I10" si="33">INT(($E8-100000*$F8-10000*$G8-1000*$H8)/100)</f>
        <v>8</v>
      </c>
      <c r="J8" s="11">
        <f t="shared" ref="J8:J10" si="34">INT(($E8-100000*$F8-10000*$G8-1000*$H8-100*$I8)/10)</f>
        <v>4</v>
      </c>
      <c r="K8" s="11">
        <f t="shared" ref="K8:K10" si="35">INT(($E8-100000*$F8-10000*$G8-1000*$H8-100*$I8-10*$J8))</f>
        <v>6</v>
      </c>
      <c r="L8" s="12">
        <v>1.0</v>
      </c>
      <c r="M8" s="10" t="s">
        <v>44</v>
      </c>
      <c r="N8" s="12">
        <f t="shared" si="7"/>
        <v>0</v>
      </c>
      <c r="O8" s="12">
        <f t="shared" si="8"/>
        <v>1</v>
      </c>
      <c r="P8" s="12">
        <f t="shared" si="9"/>
        <v>1</v>
      </c>
      <c r="Q8" s="12">
        <f t="shared" si="10"/>
        <v>1</v>
      </c>
      <c r="R8" s="12">
        <f t="shared" si="11"/>
        <v>0</v>
      </c>
      <c r="S8" s="12">
        <f t="shared" si="12"/>
        <v>0</v>
      </c>
      <c r="T8" s="12">
        <f t="shared" si="13"/>
        <v>-1</v>
      </c>
      <c r="U8" s="10" t="s">
        <v>45</v>
      </c>
      <c r="V8" s="12">
        <f t="shared" si="14"/>
        <v>0</v>
      </c>
      <c r="W8" s="12">
        <f t="shared" si="15"/>
        <v>1</v>
      </c>
      <c r="X8" s="12">
        <f t="shared" si="16"/>
        <v>1</v>
      </c>
      <c r="Y8" s="12">
        <f t="shared" si="17"/>
        <v>1</v>
      </c>
      <c r="Z8" s="12">
        <f t="shared" si="18"/>
        <v>0</v>
      </c>
      <c r="AA8" s="12">
        <f t="shared" si="19"/>
        <v>0</v>
      </c>
      <c r="AB8" s="10">
        <v>0.595</v>
      </c>
      <c r="AC8" s="13">
        <f t="shared" si="20"/>
        <v>0.5950413223</v>
      </c>
      <c r="AD8" s="12">
        <f>IF(AB8="",0,IF(ABS(AB8-AC8)&lt;=0.1,1,-1))</f>
        <v>1</v>
      </c>
      <c r="AE8" s="10">
        <v>0.667</v>
      </c>
      <c r="AF8" s="13">
        <f t="shared" si="22"/>
        <v>0.6666666667</v>
      </c>
      <c r="AG8" s="12">
        <f>IF(AE8="",0,IF(ABS(AE8-AF8)&lt;=0.1,1,-1))</f>
        <v>1</v>
      </c>
      <c r="AH8" s="22"/>
      <c r="AI8" s="13">
        <f t="shared" si="24"/>
        <v>0.3981071706</v>
      </c>
      <c r="AJ8" s="12">
        <f>IF(AH8="",0,IF(ABS(AH8-AI8)&lt;=0.1,1,-1))</f>
        <v>0</v>
      </c>
      <c r="AK8" s="18"/>
      <c r="AL8" s="14">
        <v>21.9</v>
      </c>
      <c r="AM8" s="15" t="s">
        <v>28</v>
      </c>
      <c r="AN8" s="12">
        <f t="shared" ref="AN8:AN15" si="36">IF(AK8="",0,IF(EXACT(RIGHT(AK8,5),AM8),IF(ABS(VALUE(LEFT(AK8,FIND(" ",AK8,1)))-AL8)&lt;=0.5,1,-1),-1))</f>
        <v>0</v>
      </c>
      <c r="AO8" s="10" t="s">
        <v>57</v>
      </c>
      <c r="AP8" s="14">
        <f t="shared" si="27"/>
        <v>124.7442545</v>
      </c>
      <c r="AQ8" s="15" t="s">
        <v>28</v>
      </c>
      <c r="AR8" s="12">
        <f t="shared" si="29"/>
        <v>1</v>
      </c>
      <c r="AS8" s="16">
        <f t="shared" si="28"/>
        <v>9</v>
      </c>
    </row>
    <row r="9" ht="15.75" customHeight="1">
      <c r="A9" s="8">
        <v>8.0</v>
      </c>
      <c r="B9" s="9">
        <v>45257.6853531713</v>
      </c>
      <c r="C9" s="10" t="s">
        <v>58</v>
      </c>
      <c r="D9" s="10" t="s">
        <v>59</v>
      </c>
      <c r="E9" s="11">
        <v>367800.0</v>
      </c>
      <c r="F9" s="11">
        <f t="shared" si="30"/>
        <v>3</v>
      </c>
      <c r="G9" s="11">
        <f t="shared" si="31"/>
        <v>6</v>
      </c>
      <c r="H9" s="11">
        <f t="shared" si="32"/>
        <v>7</v>
      </c>
      <c r="I9" s="11">
        <f t="shared" si="33"/>
        <v>8</v>
      </c>
      <c r="J9" s="11">
        <f t="shared" si="34"/>
        <v>0</v>
      </c>
      <c r="K9" s="11">
        <f t="shared" si="35"/>
        <v>0</v>
      </c>
      <c r="L9" s="12">
        <v>1.0</v>
      </c>
      <c r="M9" s="10" t="s">
        <v>60</v>
      </c>
      <c r="N9" s="12">
        <f t="shared" si="7"/>
        <v>0</v>
      </c>
      <c r="O9" s="12">
        <f t="shared" si="8"/>
        <v>1</v>
      </c>
      <c r="P9" s="12">
        <f t="shared" si="9"/>
        <v>0</v>
      </c>
      <c r="Q9" s="12">
        <f t="shared" si="10"/>
        <v>1</v>
      </c>
      <c r="R9" s="12">
        <f t="shared" si="11"/>
        <v>0</v>
      </c>
      <c r="S9" s="12">
        <f t="shared" si="12"/>
        <v>0</v>
      </c>
      <c r="T9" s="12">
        <f t="shared" si="13"/>
        <v>-1</v>
      </c>
      <c r="U9" s="10" t="s">
        <v>61</v>
      </c>
      <c r="V9" s="12">
        <f t="shared" si="14"/>
        <v>0</v>
      </c>
      <c r="W9" s="12">
        <f t="shared" si="15"/>
        <v>0</v>
      </c>
      <c r="X9" s="12">
        <f t="shared" si="16"/>
        <v>1</v>
      </c>
      <c r="Y9" s="12">
        <f t="shared" si="17"/>
        <v>0</v>
      </c>
      <c r="Z9" s="12">
        <f t="shared" si="18"/>
        <v>-1</v>
      </c>
      <c r="AA9" s="12">
        <f t="shared" si="19"/>
        <v>0</v>
      </c>
      <c r="AB9" s="21" t="s">
        <v>62</v>
      </c>
      <c r="AC9" s="13">
        <f t="shared" si="20"/>
        <v>0.75</v>
      </c>
      <c r="AD9" s="12">
        <v>0.0</v>
      </c>
      <c r="AE9" s="21" t="s">
        <v>63</v>
      </c>
      <c r="AF9" s="13">
        <f t="shared" si="22"/>
        <v>0.3333333333</v>
      </c>
      <c r="AG9" s="12">
        <v>0.0</v>
      </c>
      <c r="AH9" s="21" t="s">
        <v>64</v>
      </c>
      <c r="AI9" s="13">
        <f t="shared" si="24"/>
        <v>0.5011872336</v>
      </c>
      <c r="AJ9" s="12">
        <v>-1.0</v>
      </c>
      <c r="AK9" s="21" t="s">
        <v>65</v>
      </c>
      <c r="AL9" s="14">
        <v>18.7</v>
      </c>
      <c r="AM9" s="15" t="s">
        <v>28</v>
      </c>
      <c r="AN9" s="12">
        <f t="shared" si="36"/>
        <v>-1</v>
      </c>
      <c r="AO9" s="21" t="s">
        <v>66</v>
      </c>
      <c r="AP9" s="14">
        <f t="shared" si="27"/>
        <v>123.6043344</v>
      </c>
      <c r="AQ9" s="15" t="s">
        <v>28</v>
      </c>
      <c r="AR9" s="12">
        <v>0.0</v>
      </c>
      <c r="AS9" s="16">
        <f t="shared" si="28"/>
        <v>0</v>
      </c>
    </row>
    <row r="10" ht="15.75" customHeight="1">
      <c r="A10" s="8">
        <v>9.0</v>
      </c>
      <c r="B10" s="9">
        <v>45257.68653313657</v>
      </c>
      <c r="C10" s="10" t="s">
        <v>67</v>
      </c>
      <c r="D10" s="10" t="s">
        <v>68</v>
      </c>
      <c r="E10" s="11">
        <v>368048.0</v>
      </c>
      <c r="F10" s="11">
        <f t="shared" si="30"/>
        <v>3</v>
      </c>
      <c r="G10" s="11">
        <f t="shared" si="31"/>
        <v>6</v>
      </c>
      <c r="H10" s="11">
        <f t="shared" si="32"/>
        <v>8</v>
      </c>
      <c r="I10" s="11">
        <f t="shared" si="33"/>
        <v>0</v>
      </c>
      <c r="J10" s="11">
        <f t="shared" si="34"/>
        <v>4</v>
      </c>
      <c r="K10" s="11">
        <f t="shared" si="35"/>
        <v>8</v>
      </c>
      <c r="L10" s="12">
        <v>1.0</v>
      </c>
      <c r="M10" s="10" t="s">
        <v>69</v>
      </c>
      <c r="N10" s="12">
        <f t="shared" si="7"/>
        <v>0</v>
      </c>
      <c r="O10" s="12">
        <f t="shared" si="8"/>
        <v>1</v>
      </c>
      <c r="P10" s="12">
        <f t="shared" si="9"/>
        <v>0</v>
      </c>
      <c r="Q10" s="12">
        <f t="shared" si="10"/>
        <v>1</v>
      </c>
      <c r="R10" s="12">
        <f t="shared" si="11"/>
        <v>0</v>
      </c>
      <c r="S10" s="12">
        <f t="shared" si="12"/>
        <v>0</v>
      </c>
      <c r="T10" s="12">
        <f t="shared" si="13"/>
        <v>0</v>
      </c>
      <c r="U10" s="10" t="s">
        <v>61</v>
      </c>
      <c r="V10" s="12">
        <f t="shared" si="14"/>
        <v>0</v>
      </c>
      <c r="W10" s="12">
        <f t="shared" si="15"/>
        <v>0</v>
      </c>
      <c r="X10" s="12">
        <f t="shared" si="16"/>
        <v>1</v>
      </c>
      <c r="Y10" s="12">
        <f t="shared" si="17"/>
        <v>0</v>
      </c>
      <c r="Z10" s="12">
        <f t="shared" si="18"/>
        <v>-1</v>
      </c>
      <c r="AA10" s="12">
        <f t="shared" si="19"/>
        <v>0</v>
      </c>
      <c r="AB10" s="20" t="s">
        <v>70</v>
      </c>
      <c r="AC10" s="13">
        <f t="shared" si="20"/>
        <v>0.5555555556</v>
      </c>
      <c r="AD10" s="12">
        <v>1.0</v>
      </c>
      <c r="AE10" s="20" t="s">
        <v>71</v>
      </c>
      <c r="AF10" s="13">
        <f t="shared" si="22"/>
        <v>0.75</v>
      </c>
      <c r="AG10" s="12">
        <v>-1.0</v>
      </c>
      <c r="AH10" s="21" t="s">
        <v>72</v>
      </c>
      <c r="AI10" s="13">
        <f t="shared" si="24"/>
        <v>0.3981071706</v>
      </c>
      <c r="AJ10" s="12">
        <v>-1.0</v>
      </c>
      <c r="AK10" s="21" t="s">
        <v>73</v>
      </c>
      <c r="AL10" s="14">
        <v>22.6</v>
      </c>
      <c r="AM10" s="15" t="s">
        <v>28</v>
      </c>
      <c r="AN10" s="12">
        <f t="shared" si="36"/>
        <v>-1</v>
      </c>
      <c r="AO10" s="20" t="s">
        <v>74</v>
      </c>
      <c r="AP10" s="14">
        <f t="shared" si="27"/>
        <v>126.0276911</v>
      </c>
      <c r="AQ10" s="15" t="s">
        <v>28</v>
      </c>
      <c r="AR10" s="12">
        <v>-1.0</v>
      </c>
      <c r="AS10" s="16">
        <f t="shared" si="28"/>
        <v>0</v>
      </c>
    </row>
    <row r="11" ht="15.75" customHeight="1">
      <c r="A11" s="8">
        <v>10.0</v>
      </c>
      <c r="B11" s="9">
        <v>45257.687321516205</v>
      </c>
      <c r="C11" s="10" t="s">
        <v>75</v>
      </c>
      <c r="D11" s="10" t="s">
        <v>76</v>
      </c>
      <c r="E11" s="19" t="s">
        <v>77</v>
      </c>
      <c r="F11" s="11">
        <v>3.0</v>
      </c>
      <c r="G11" s="11">
        <v>6.0</v>
      </c>
      <c r="H11" s="11">
        <v>7.0</v>
      </c>
      <c r="I11" s="11">
        <v>7.0</v>
      </c>
      <c r="J11" s="11">
        <v>9.0</v>
      </c>
      <c r="K11" s="11">
        <v>8.0</v>
      </c>
      <c r="L11" s="12">
        <v>1.0</v>
      </c>
      <c r="M11" s="10" t="s">
        <v>25</v>
      </c>
      <c r="N11" s="12">
        <f t="shared" si="7"/>
        <v>0</v>
      </c>
      <c r="O11" s="12">
        <f t="shared" si="8"/>
        <v>1</v>
      </c>
      <c r="P11" s="12">
        <f t="shared" si="9"/>
        <v>0</v>
      </c>
      <c r="Q11" s="12">
        <f t="shared" si="10"/>
        <v>1</v>
      </c>
      <c r="R11" s="12">
        <f t="shared" si="11"/>
        <v>0</v>
      </c>
      <c r="S11" s="12">
        <f t="shared" si="12"/>
        <v>1</v>
      </c>
      <c r="T11" s="12">
        <f t="shared" si="13"/>
        <v>0</v>
      </c>
      <c r="U11" s="10" t="s">
        <v>32</v>
      </c>
      <c r="V11" s="12">
        <f t="shared" si="14"/>
        <v>0</v>
      </c>
      <c r="W11" s="12">
        <f t="shared" si="15"/>
        <v>0</v>
      </c>
      <c r="X11" s="12">
        <f t="shared" si="16"/>
        <v>1</v>
      </c>
      <c r="Y11" s="12">
        <f t="shared" si="17"/>
        <v>0</v>
      </c>
      <c r="Z11" s="12">
        <f t="shared" si="18"/>
        <v>0</v>
      </c>
      <c r="AA11" s="12">
        <f t="shared" si="19"/>
        <v>0</v>
      </c>
      <c r="AB11" s="21" t="s">
        <v>78</v>
      </c>
      <c r="AC11" s="13">
        <f t="shared" si="20"/>
        <v>0.5555555556</v>
      </c>
      <c r="AD11" s="12">
        <v>-1.0</v>
      </c>
      <c r="AE11" s="21" t="s">
        <v>79</v>
      </c>
      <c r="AF11" s="13">
        <f t="shared" si="22"/>
        <v>0.75</v>
      </c>
      <c r="AG11" s="12">
        <v>-1.0</v>
      </c>
      <c r="AH11" s="21" t="s">
        <v>80</v>
      </c>
      <c r="AI11" s="13">
        <f t="shared" si="24"/>
        <v>0.2985382619</v>
      </c>
      <c r="AJ11" s="12">
        <v>-1.0</v>
      </c>
      <c r="AK11" s="21" t="s">
        <v>81</v>
      </c>
      <c r="AL11" s="14">
        <v>22.6</v>
      </c>
      <c r="AM11" s="15" t="s">
        <v>28</v>
      </c>
      <c r="AN11" s="12">
        <f t="shared" si="36"/>
        <v>-1</v>
      </c>
      <c r="AO11" s="21" t="s">
        <v>82</v>
      </c>
      <c r="AP11" s="14">
        <f t="shared" si="27"/>
        <v>126.5681346</v>
      </c>
      <c r="AQ11" s="15" t="s">
        <v>28</v>
      </c>
      <c r="AR11" s="12">
        <f t="shared" ref="AR11:AR15" si="37">IF(AO11="",0,IF(EXACT(RIGHT(AO11,5),AQ11),IF(ABS(VALUE(LEFT(AO11,FIND(" ",AO11,1)))-AP11)&lt;=0.5,1,-1),-1))</f>
        <v>-1</v>
      </c>
      <c r="AS11" s="16">
        <f t="shared" si="28"/>
        <v>0</v>
      </c>
    </row>
    <row r="12" ht="15.75" customHeight="1">
      <c r="A12" s="8">
        <v>11.0</v>
      </c>
      <c r="B12" s="9">
        <v>45257.688869652775</v>
      </c>
      <c r="C12" s="10" t="s">
        <v>83</v>
      </c>
      <c r="D12" s="10" t="s">
        <v>84</v>
      </c>
      <c r="E12" s="11">
        <v>356942.0</v>
      </c>
      <c r="F12" s="11">
        <f t="shared" ref="F12:F15" si="38">INT(E12/100000)</f>
        <v>3</v>
      </c>
      <c r="G12" s="11">
        <f t="shared" ref="G12:G15" si="39">INT(($E12-100000*F12)/10000)</f>
        <v>5</v>
      </c>
      <c r="H12" s="11">
        <f t="shared" ref="H12:H15" si="40">INT(($E12-100000*F12-10000*G12)/1000)</f>
        <v>6</v>
      </c>
      <c r="I12" s="11">
        <f t="shared" ref="I12:I15" si="41">INT(($E12-100000*$F12-10000*$G12-1000*$H12)/100)</f>
        <v>9</v>
      </c>
      <c r="J12" s="11">
        <f t="shared" ref="J12:J15" si="42">INT(($E12-100000*$F12-10000*$G12-1000*$H12-100*$I12)/10)</f>
        <v>4</v>
      </c>
      <c r="K12" s="11">
        <f t="shared" ref="K12:K15" si="43">INT(($E12-100000*$F12-10000*$G12-1000*$H12-100*$I12-10*$J12))</f>
        <v>2</v>
      </c>
      <c r="L12" s="12">
        <v>1.0</v>
      </c>
      <c r="M12" s="10" t="s">
        <v>85</v>
      </c>
      <c r="N12" s="12">
        <f t="shared" si="7"/>
        <v>1</v>
      </c>
      <c r="O12" s="12">
        <f t="shared" si="8"/>
        <v>1</v>
      </c>
      <c r="P12" s="12">
        <f t="shared" si="9"/>
        <v>1</v>
      </c>
      <c r="Q12" s="12">
        <f t="shared" si="10"/>
        <v>1</v>
      </c>
      <c r="R12" s="12">
        <f t="shared" si="11"/>
        <v>0</v>
      </c>
      <c r="S12" s="12">
        <f t="shared" si="12"/>
        <v>1</v>
      </c>
      <c r="T12" s="12">
        <f t="shared" si="13"/>
        <v>0</v>
      </c>
      <c r="U12" s="10" t="s">
        <v>86</v>
      </c>
      <c r="V12" s="12">
        <f t="shared" si="14"/>
        <v>1</v>
      </c>
      <c r="W12" s="12">
        <f t="shared" si="15"/>
        <v>0</v>
      </c>
      <c r="X12" s="12">
        <f t="shared" si="16"/>
        <v>1</v>
      </c>
      <c r="Y12" s="12">
        <f t="shared" si="17"/>
        <v>1</v>
      </c>
      <c r="Z12" s="12">
        <f t="shared" si="18"/>
        <v>0</v>
      </c>
      <c r="AA12" s="12">
        <f t="shared" si="19"/>
        <v>1</v>
      </c>
      <c r="AB12" s="10">
        <v>0.691</v>
      </c>
      <c r="AC12" s="13">
        <f t="shared" si="20"/>
        <v>0.6913580247</v>
      </c>
      <c r="AD12" s="12">
        <f t="shared" ref="AD12:AD14" si="44">IF(AB12="",0,IF(ABS(AB12-AC12)&lt;=0.1,1,-1))</f>
        <v>1</v>
      </c>
      <c r="AE12" s="10">
        <v>0.462</v>
      </c>
      <c r="AF12" s="13">
        <f t="shared" si="22"/>
        <v>0.4615384615</v>
      </c>
      <c r="AG12" s="12">
        <f t="shared" ref="AG12:AG15" si="45">IF(AE12="",0,IF(ABS(AE12-AF12)&lt;=0.1,1,-1))</f>
        <v>1</v>
      </c>
      <c r="AH12" s="10">
        <v>0.398</v>
      </c>
      <c r="AI12" s="13">
        <f t="shared" si="24"/>
        <v>0.3981071706</v>
      </c>
      <c r="AJ12" s="12">
        <f t="shared" ref="AJ12:AJ15" si="46">IF(AH12="",0,IF(ABS(AH12-AI12)&lt;=0.1,1,-1))</f>
        <v>1</v>
      </c>
      <c r="AK12" s="10" t="s">
        <v>87</v>
      </c>
      <c r="AL12" s="14">
        <v>20.0</v>
      </c>
      <c r="AM12" s="15" t="s">
        <v>28</v>
      </c>
      <c r="AN12" s="12">
        <f t="shared" si="36"/>
        <v>-1</v>
      </c>
      <c r="AO12" s="10" t="s">
        <v>88</v>
      </c>
      <c r="AP12" s="14">
        <f t="shared" si="27"/>
        <v>123.9516749</v>
      </c>
      <c r="AQ12" s="15" t="s">
        <v>28</v>
      </c>
      <c r="AR12" s="12">
        <f t="shared" si="37"/>
        <v>1</v>
      </c>
      <c r="AS12" s="16">
        <f t="shared" si="28"/>
        <v>13</v>
      </c>
    </row>
    <row r="13" ht="15.75" customHeight="1">
      <c r="A13" s="8">
        <v>12.0</v>
      </c>
      <c r="B13" s="9">
        <v>45257.68939743056</v>
      </c>
      <c r="C13" s="10" t="s">
        <v>89</v>
      </c>
      <c r="D13" s="10" t="s">
        <v>90</v>
      </c>
      <c r="E13" s="11">
        <v>343833.0</v>
      </c>
      <c r="F13" s="11">
        <f t="shared" si="38"/>
        <v>3</v>
      </c>
      <c r="G13" s="11">
        <f t="shared" si="39"/>
        <v>4</v>
      </c>
      <c r="H13" s="11">
        <f t="shared" si="40"/>
        <v>3</v>
      </c>
      <c r="I13" s="11">
        <f t="shared" si="41"/>
        <v>8</v>
      </c>
      <c r="J13" s="11">
        <f t="shared" si="42"/>
        <v>3</v>
      </c>
      <c r="K13" s="11">
        <f t="shared" si="43"/>
        <v>3</v>
      </c>
      <c r="L13" s="12">
        <v>1.0</v>
      </c>
      <c r="M13" s="10" t="s">
        <v>85</v>
      </c>
      <c r="N13" s="12">
        <f t="shared" si="7"/>
        <v>1</v>
      </c>
      <c r="O13" s="12">
        <f t="shared" si="8"/>
        <v>1</v>
      </c>
      <c r="P13" s="12">
        <f t="shared" si="9"/>
        <v>1</v>
      </c>
      <c r="Q13" s="12">
        <f t="shared" si="10"/>
        <v>1</v>
      </c>
      <c r="R13" s="12">
        <f t="shared" si="11"/>
        <v>0</v>
      </c>
      <c r="S13" s="12">
        <f t="shared" si="12"/>
        <v>1</v>
      </c>
      <c r="T13" s="12">
        <f t="shared" si="13"/>
        <v>0</v>
      </c>
      <c r="U13" s="10" t="s">
        <v>86</v>
      </c>
      <c r="V13" s="12">
        <f t="shared" si="14"/>
        <v>1</v>
      </c>
      <c r="W13" s="12">
        <f t="shared" si="15"/>
        <v>0</v>
      </c>
      <c r="X13" s="12">
        <f t="shared" si="16"/>
        <v>1</v>
      </c>
      <c r="Y13" s="12">
        <f t="shared" si="17"/>
        <v>1</v>
      </c>
      <c r="Z13" s="12">
        <f t="shared" si="18"/>
        <v>0</v>
      </c>
      <c r="AA13" s="12">
        <f t="shared" si="19"/>
        <v>1</v>
      </c>
      <c r="AB13" s="10">
        <v>0.665</v>
      </c>
      <c r="AC13" s="13">
        <f t="shared" si="20"/>
        <v>0.6648199446</v>
      </c>
      <c r="AD13" s="12">
        <f t="shared" si="44"/>
        <v>1</v>
      </c>
      <c r="AE13" s="10">
        <v>0.518</v>
      </c>
      <c r="AF13" s="13">
        <f t="shared" si="22"/>
        <v>0.5185185185</v>
      </c>
      <c r="AG13" s="12">
        <f t="shared" si="45"/>
        <v>1</v>
      </c>
      <c r="AH13" s="10">
        <v>0.421</v>
      </c>
      <c r="AI13" s="13">
        <f t="shared" si="24"/>
        <v>0.4216965034</v>
      </c>
      <c r="AJ13" s="12">
        <f t="shared" si="46"/>
        <v>1</v>
      </c>
      <c r="AK13" s="18"/>
      <c r="AL13" s="14">
        <v>20.6</v>
      </c>
      <c r="AM13" s="15" t="s">
        <v>28</v>
      </c>
      <c r="AN13" s="12">
        <f t="shared" si="36"/>
        <v>0</v>
      </c>
      <c r="AO13" s="10" t="s">
        <v>91</v>
      </c>
      <c r="AP13" s="14">
        <f t="shared" si="27"/>
        <v>123.2050933</v>
      </c>
      <c r="AQ13" s="15" t="s">
        <v>28</v>
      </c>
      <c r="AR13" s="12">
        <f t="shared" si="37"/>
        <v>1</v>
      </c>
      <c r="AS13" s="16">
        <f t="shared" si="28"/>
        <v>14</v>
      </c>
    </row>
    <row r="14" ht="15.75" customHeight="1">
      <c r="A14" s="8">
        <v>13.0</v>
      </c>
      <c r="B14" s="9">
        <v>45257.68987526621</v>
      </c>
      <c r="C14" s="10" t="s">
        <v>92</v>
      </c>
      <c r="D14" s="10" t="s">
        <v>93</v>
      </c>
      <c r="E14" s="11">
        <v>307205.0</v>
      </c>
      <c r="F14" s="11">
        <f t="shared" si="38"/>
        <v>3</v>
      </c>
      <c r="G14" s="11">
        <f t="shared" si="39"/>
        <v>0</v>
      </c>
      <c r="H14" s="11">
        <f t="shared" si="40"/>
        <v>7</v>
      </c>
      <c r="I14" s="11">
        <f t="shared" si="41"/>
        <v>2</v>
      </c>
      <c r="J14" s="11">
        <f t="shared" si="42"/>
        <v>0</v>
      </c>
      <c r="K14" s="11">
        <f t="shared" si="43"/>
        <v>5</v>
      </c>
      <c r="L14" s="12">
        <v>1.0</v>
      </c>
      <c r="M14" s="10" t="s">
        <v>94</v>
      </c>
      <c r="N14" s="12">
        <f t="shared" si="7"/>
        <v>0</v>
      </c>
      <c r="O14" s="12">
        <f t="shared" si="8"/>
        <v>1</v>
      </c>
      <c r="P14" s="12">
        <f t="shared" si="9"/>
        <v>1</v>
      </c>
      <c r="Q14" s="12">
        <f t="shared" si="10"/>
        <v>1</v>
      </c>
      <c r="R14" s="12">
        <f t="shared" si="11"/>
        <v>0</v>
      </c>
      <c r="S14" s="12">
        <f t="shared" si="12"/>
        <v>0</v>
      </c>
      <c r="T14" s="12">
        <f t="shared" si="13"/>
        <v>0</v>
      </c>
      <c r="U14" s="10" t="s">
        <v>95</v>
      </c>
      <c r="V14" s="12">
        <f t="shared" si="14"/>
        <v>1</v>
      </c>
      <c r="W14" s="12">
        <f t="shared" si="15"/>
        <v>1</v>
      </c>
      <c r="X14" s="12">
        <f t="shared" si="16"/>
        <v>1</v>
      </c>
      <c r="Y14" s="12">
        <f t="shared" si="17"/>
        <v>1</v>
      </c>
      <c r="Z14" s="12">
        <f t="shared" si="18"/>
        <v>0</v>
      </c>
      <c r="AA14" s="12">
        <f t="shared" si="19"/>
        <v>1</v>
      </c>
      <c r="AB14" s="10">
        <v>0.616</v>
      </c>
      <c r="AC14" s="13">
        <f t="shared" si="20"/>
        <v>0.6167800454</v>
      </c>
      <c r="AD14" s="12">
        <f t="shared" si="44"/>
        <v>1</v>
      </c>
      <c r="AE14" s="10">
        <v>0.55</v>
      </c>
      <c r="AF14" s="13">
        <f t="shared" si="22"/>
        <v>0.6206896552</v>
      </c>
      <c r="AG14" s="12">
        <f t="shared" si="45"/>
        <v>1</v>
      </c>
      <c r="AH14" s="10">
        <v>0.498</v>
      </c>
      <c r="AI14" s="13">
        <f t="shared" si="24"/>
        <v>0.5011872336</v>
      </c>
      <c r="AJ14" s="12">
        <f t="shared" si="46"/>
        <v>1</v>
      </c>
      <c r="AK14" s="10" t="s">
        <v>96</v>
      </c>
      <c r="AL14" s="14">
        <v>21.5</v>
      </c>
      <c r="AM14" s="15" t="s">
        <v>28</v>
      </c>
      <c r="AN14" s="12">
        <f t="shared" si="36"/>
        <v>-1</v>
      </c>
      <c r="AO14" s="10" t="s">
        <v>97</v>
      </c>
      <c r="AP14" s="14">
        <f t="shared" si="27"/>
        <v>124.4275819</v>
      </c>
      <c r="AQ14" s="15" t="s">
        <v>28</v>
      </c>
      <c r="AR14" s="12">
        <f t="shared" si="37"/>
        <v>1</v>
      </c>
      <c r="AS14" s="16">
        <f t="shared" si="28"/>
        <v>12</v>
      </c>
    </row>
    <row r="15" ht="15.75" customHeight="1">
      <c r="A15" s="23">
        <v>14.0</v>
      </c>
      <c r="B15" s="24">
        <v>45257.693241030094</v>
      </c>
      <c r="C15" s="25" t="s">
        <v>98</v>
      </c>
      <c r="D15" s="25" t="s">
        <v>99</v>
      </c>
      <c r="E15" s="26">
        <v>123456.0</v>
      </c>
      <c r="F15" s="27">
        <f t="shared" si="38"/>
        <v>1</v>
      </c>
      <c r="G15" s="27">
        <f t="shared" si="39"/>
        <v>2</v>
      </c>
      <c r="H15" s="27">
        <f t="shared" si="40"/>
        <v>3</v>
      </c>
      <c r="I15" s="27">
        <f t="shared" si="41"/>
        <v>4</v>
      </c>
      <c r="J15" s="27">
        <f t="shared" si="42"/>
        <v>5</v>
      </c>
      <c r="K15" s="27">
        <f t="shared" si="43"/>
        <v>6</v>
      </c>
      <c r="L15" s="28">
        <v>1.0</v>
      </c>
      <c r="M15" s="25" t="s">
        <v>25</v>
      </c>
      <c r="N15" s="28">
        <f t="shared" si="7"/>
        <v>0</v>
      </c>
      <c r="O15" s="28">
        <f t="shared" si="8"/>
        <v>1</v>
      </c>
      <c r="P15" s="28">
        <f t="shared" si="9"/>
        <v>0</v>
      </c>
      <c r="Q15" s="28">
        <f t="shared" si="10"/>
        <v>1</v>
      </c>
      <c r="R15" s="28">
        <f t="shared" si="11"/>
        <v>0</v>
      </c>
      <c r="S15" s="28">
        <f t="shared" si="12"/>
        <v>1</v>
      </c>
      <c r="T15" s="28">
        <f t="shared" si="13"/>
        <v>0</v>
      </c>
      <c r="U15" s="25" t="s">
        <v>100</v>
      </c>
      <c r="V15" s="28">
        <f t="shared" si="14"/>
        <v>1</v>
      </c>
      <c r="W15" s="28">
        <f t="shared" si="15"/>
        <v>1</v>
      </c>
      <c r="X15" s="28">
        <f t="shared" si="16"/>
        <v>1</v>
      </c>
      <c r="Y15" s="28">
        <f t="shared" si="17"/>
        <v>0</v>
      </c>
      <c r="Z15" s="28">
        <f t="shared" si="18"/>
        <v>-1</v>
      </c>
      <c r="AA15" s="28">
        <f t="shared" si="19"/>
        <v>0</v>
      </c>
      <c r="AB15" s="25" t="s">
        <v>101</v>
      </c>
      <c r="AC15" s="29">
        <f t="shared" si="20"/>
        <v>0.5950413223</v>
      </c>
      <c r="AD15" s="28">
        <v>-1.0</v>
      </c>
      <c r="AE15" s="25">
        <v>0.084</v>
      </c>
      <c r="AF15" s="29">
        <f t="shared" si="22"/>
        <v>0.6666666667</v>
      </c>
      <c r="AG15" s="28">
        <f t="shared" si="45"/>
        <v>-1</v>
      </c>
      <c r="AH15" s="25">
        <v>0.5</v>
      </c>
      <c r="AI15" s="29">
        <f t="shared" si="24"/>
        <v>0.3758374043</v>
      </c>
      <c r="AJ15" s="28">
        <f t="shared" si="46"/>
        <v>-1</v>
      </c>
      <c r="AK15" s="30"/>
      <c r="AL15" s="31">
        <v>21.9</v>
      </c>
      <c r="AM15" s="32" t="s">
        <v>28</v>
      </c>
      <c r="AN15" s="28">
        <f t="shared" si="36"/>
        <v>0</v>
      </c>
      <c r="AO15" s="33" t="s">
        <v>102</v>
      </c>
      <c r="AP15" s="31">
        <f t="shared" si="27"/>
        <v>124.2859042</v>
      </c>
      <c r="AQ15" s="32" t="s">
        <v>28</v>
      </c>
      <c r="AR15" s="28">
        <f t="shared" si="37"/>
        <v>-1</v>
      </c>
      <c r="AS15" s="34">
        <f t="shared" si="28"/>
        <v>2</v>
      </c>
    </row>
    <row r="16" ht="15.75" customHeight="1"/>
    <row r="17" ht="15.75" customHeight="1">
      <c r="A17" s="35" t="s">
        <v>103</v>
      </c>
      <c r="B17" s="36"/>
      <c r="C17" s="36"/>
    </row>
    <row r="18" ht="15.75" customHeight="1">
      <c r="A18" s="37" t="s">
        <v>104</v>
      </c>
      <c r="B18" s="38"/>
      <c r="C18" s="38"/>
    </row>
    <row r="19" ht="15.75" customHeight="1">
      <c r="A19" s="39" t="s">
        <v>105</v>
      </c>
      <c r="B19" s="40"/>
      <c r="C19" s="40"/>
    </row>
    <row r="20" ht="15.75" customHeight="1">
      <c r="A20" s="41" t="s">
        <v>106</v>
      </c>
      <c r="B20" s="42"/>
      <c r="C20" s="42"/>
    </row>
    <row r="21" ht="15.75" customHeight="1">
      <c r="A21" s="36"/>
      <c r="B21" s="36"/>
      <c r="C21" s="36"/>
    </row>
    <row r="22" ht="15.75" customHeight="1">
      <c r="A22" s="35" t="s">
        <v>107</v>
      </c>
      <c r="B22" s="36"/>
      <c r="C22" s="36"/>
    </row>
    <row r="23" ht="15.75" customHeight="1">
      <c r="A23" s="43" t="s">
        <v>108</v>
      </c>
      <c r="B23" s="43"/>
      <c r="C23" s="43"/>
    </row>
    <row r="24" ht="15.75" customHeight="1">
      <c r="A24" s="44" t="s">
        <v>109</v>
      </c>
      <c r="B24" s="44"/>
      <c r="C24" s="44"/>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L2:L15">
    <cfRule type="cellIs" dxfId="0" priority="1" operator="equal">
      <formula>0</formula>
    </cfRule>
  </conditionalFormatting>
  <conditionalFormatting sqref="L2:L15">
    <cfRule type="cellIs" dxfId="1" priority="2" operator="equal">
      <formula>-1</formula>
    </cfRule>
  </conditionalFormatting>
  <conditionalFormatting sqref="L2:L15">
    <cfRule type="cellIs" dxfId="2" priority="3" operator="equal">
      <formula>1</formula>
    </cfRule>
  </conditionalFormatting>
  <conditionalFormatting sqref="N2:T15">
    <cfRule type="cellIs" dxfId="0" priority="4" operator="equal">
      <formula>0</formula>
    </cfRule>
  </conditionalFormatting>
  <conditionalFormatting sqref="N2:T15">
    <cfRule type="cellIs" dxfId="1" priority="5" operator="equal">
      <formula>-1</formula>
    </cfRule>
  </conditionalFormatting>
  <conditionalFormatting sqref="N2:T15">
    <cfRule type="cellIs" dxfId="2" priority="6" operator="equal">
      <formula>1</formula>
    </cfRule>
  </conditionalFormatting>
  <conditionalFormatting sqref="V2:AA15">
    <cfRule type="cellIs" dxfId="0" priority="7" operator="equal">
      <formula>0</formula>
    </cfRule>
  </conditionalFormatting>
  <conditionalFormatting sqref="V2:AA15">
    <cfRule type="cellIs" dxfId="1" priority="8" operator="equal">
      <formula>-1</formula>
    </cfRule>
  </conditionalFormatting>
  <conditionalFormatting sqref="V2:AA15">
    <cfRule type="cellIs" dxfId="2" priority="9" operator="equal">
      <formula>1</formula>
    </cfRule>
  </conditionalFormatting>
  <conditionalFormatting sqref="AD2:AD15">
    <cfRule type="cellIs" dxfId="0" priority="10" operator="equal">
      <formula>0</formula>
    </cfRule>
  </conditionalFormatting>
  <conditionalFormatting sqref="AD2:AD15">
    <cfRule type="cellIs" dxfId="1" priority="11" operator="equal">
      <formula>-1</formula>
    </cfRule>
  </conditionalFormatting>
  <conditionalFormatting sqref="AD2:AD15">
    <cfRule type="cellIs" dxfId="2" priority="12" operator="equal">
      <formula>1</formula>
    </cfRule>
  </conditionalFormatting>
  <conditionalFormatting sqref="AG2:AG15">
    <cfRule type="cellIs" dxfId="0" priority="13" operator="equal">
      <formula>0</formula>
    </cfRule>
  </conditionalFormatting>
  <conditionalFormatting sqref="AG2:AG15">
    <cfRule type="cellIs" dxfId="1" priority="14" operator="equal">
      <formula>-1</formula>
    </cfRule>
  </conditionalFormatting>
  <conditionalFormatting sqref="AG2:AG15">
    <cfRule type="cellIs" dxfId="2" priority="15" operator="equal">
      <formula>1</formula>
    </cfRule>
  </conditionalFormatting>
  <conditionalFormatting sqref="AJ2:AJ15">
    <cfRule type="cellIs" dxfId="0" priority="16" operator="equal">
      <formula>0</formula>
    </cfRule>
  </conditionalFormatting>
  <conditionalFormatting sqref="AJ2:AJ15">
    <cfRule type="cellIs" dxfId="1" priority="17" operator="equal">
      <formula>-1</formula>
    </cfRule>
  </conditionalFormatting>
  <conditionalFormatting sqref="AJ2:AJ15">
    <cfRule type="cellIs" dxfId="2" priority="18" operator="equal">
      <formula>1</formula>
    </cfRule>
  </conditionalFormatting>
  <conditionalFormatting sqref="AN2:AN15">
    <cfRule type="cellIs" dxfId="0" priority="19" operator="equal">
      <formula>0</formula>
    </cfRule>
  </conditionalFormatting>
  <conditionalFormatting sqref="AN2:AN15">
    <cfRule type="cellIs" dxfId="1" priority="20" operator="equal">
      <formula>-1</formula>
    </cfRule>
  </conditionalFormatting>
  <conditionalFormatting sqref="AN2:AN15">
    <cfRule type="cellIs" dxfId="2" priority="21" operator="equal">
      <formula>1</formula>
    </cfRule>
  </conditionalFormatting>
  <conditionalFormatting sqref="AR2:AR15">
    <cfRule type="cellIs" dxfId="0" priority="22" operator="equal">
      <formula>0</formula>
    </cfRule>
  </conditionalFormatting>
  <conditionalFormatting sqref="AR2:AR15">
    <cfRule type="cellIs" dxfId="1" priority="23" operator="equal">
      <formula>-1</formula>
    </cfRule>
  </conditionalFormatting>
  <conditionalFormatting sqref="AR2:AR15">
    <cfRule type="cellIs" dxfId="2" priority="24" operator="equal">
      <formula>1</formula>
    </cfRule>
  </conditionalFormatting>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63"/>
    <col customWidth="1" min="2" max="3" width="11.75"/>
    <col customWidth="1" min="4" max="7" width="8.63"/>
    <col customWidth="1" min="8" max="8" width="11.75"/>
    <col customWidth="1" min="9" max="26" width="8.63"/>
  </cols>
  <sheetData>
    <row r="1" ht="12.75" customHeight="1">
      <c r="A1" s="45" t="s">
        <v>110</v>
      </c>
    </row>
    <row r="2" ht="12.75" customHeight="1">
      <c r="A2" s="45"/>
    </row>
    <row r="3" ht="12.75" customHeight="1">
      <c r="A3" s="46" t="s">
        <v>4</v>
      </c>
    </row>
    <row r="4" ht="12.75" customHeight="1">
      <c r="A4" s="47" t="s">
        <v>5</v>
      </c>
      <c r="B4" s="48" t="s">
        <v>6</v>
      </c>
      <c r="C4" s="48" t="s">
        <v>7</v>
      </c>
      <c r="D4" s="48" t="s">
        <v>8</v>
      </c>
      <c r="E4" s="48" t="s">
        <v>9</v>
      </c>
      <c r="F4" s="49" t="s">
        <v>10</v>
      </c>
    </row>
    <row r="5" ht="12.75" customHeight="1">
      <c r="A5" s="50">
        <v>1.0</v>
      </c>
      <c r="B5" s="50">
        <v>2.0</v>
      </c>
      <c r="C5" s="50">
        <v>3.0</v>
      </c>
      <c r="D5" s="50">
        <v>4.0</v>
      </c>
      <c r="E5" s="50">
        <v>5.0</v>
      </c>
      <c r="F5" s="50">
        <v>6.0</v>
      </c>
    </row>
    <row r="6" ht="12.75" customHeight="1"/>
    <row r="7" ht="12.75" customHeight="1">
      <c r="A7" s="51" t="s">
        <v>111</v>
      </c>
      <c r="F7" s="52" t="s">
        <v>112</v>
      </c>
    </row>
    <row r="8" ht="12.75" customHeight="1">
      <c r="A8" s="53" t="s">
        <v>113</v>
      </c>
      <c r="B8" s="54"/>
      <c r="C8" s="54"/>
      <c r="D8" s="54"/>
      <c r="E8" s="54"/>
      <c r="F8" s="54"/>
      <c r="G8" s="54"/>
      <c r="H8" s="54"/>
      <c r="I8" s="54"/>
      <c r="J8" s="54"/>
    </row>
    <row r="9" ht="12.75" customHeight="1">
      <c r="A9" s="53" t="s">
        <v>114</v>
      </c>
      <c r="B9" s="54"/>
      <c r="C9" s="54"/>
      <c r="D9" s="54"/>
      <c r="E9" s="54"/>
      <c r="F9" s="54"/>
      <c r="G9" s="54"/>
      <c r="H9" s="54"/>
      <c r="I9" s="54"/>
      <c r="J9" s="54"/>
    </row>
    <row r="10" ht="12.75" customHeight="1">
      <c r="A10" s="53" t="s">
        <v>115</v>
      </c>
      <c r="B10" s="54"/>
      <c r="C10" s="54"/>
      <c r="D10" s="54"/>
      <c r="E10" s="54"/>
      <c r="F10" s="54"/>
      <c r="G10" s="54"/>
      <c r="H10" s="54"/>
      <c r="I10" s="54"/>
      <c r="J10" s="54"/>
    </row>
    <row r="11" ht="12.75" customHeight="1">
      <c r="A11" s="53" t="s">
        <v>116</v>
      </c>
      <c r="B11" s="54"/>
      <c r="C11" s="54"/>
      <c r="D11" s="54"/>
      <c r="E11" s="54"/>
      <c r="F11" s="54"/>
      <c r="G11" s="54"/>
      <c r="H11" s="54"/>
      <c r="I11" s="54"/>
      <c r="J11" s="54"/>
    </row>
    <row r="12" ht="12.75" customHeight="1">
      <c r="A12" s="55" t="s">
        <v>117</v>
      </c>
    </row>
    <row r="13" ht="12.75" customHeight="1">
      <c r="A13" s="53" t="s">
        <v>118</v>
      </c>
      <c r="B13" s="54"/>
      <c r="C13" s="54"/>
      <c r="D13" s="54"/>
      <c r="E13" s="54"/>
      <c r="F13" s="54"/>
      <c r="G13" s="54"/>
      <c r="H13" s="54"/>
      <c r="I13" s="54"/>
      <c r="J13" s="54"/>
    </row>
    <row r="14" ht="12.75" customHeight="1">
      <c r="A14" s="55" t="s">
        <v>119</v>
      </c>
    </row>
    <row r="15" ht="12.75" customHeight="1">
      <c r="A15" s="56"/>
    </row>
    <row r="16" ht="12.75" customHeight="1">
      <c r="A16" s="51" t="s">
        <v>120</v>
      </c>
      <c r="F16" s="52" t="s">
        <v>112</v>
      </c>
    </row>
    <row r="17" ht="12.75" customHeight="1">
      <c r="A17" s="53" t="s">
        <v>121</v>
      </c>
      <c r="B17" s="54"/>
      <c r="C17" s="54"/>
      <c r="D17" s="54"/>
      <c r="E17" s="54"/>
      <c r="F17" s="54"/>
      <c r="G17" s="54"/>
      <c r="H17" s="54"/>
      <c r="I17" s="54"/>
      <c r="J17" s="54"/>
    </row>
    <row r="18" ht="12.75" customHeight="1">
      <c r="A18" s="53" t="s">
        <v>122</v>
      </c>
      <c r="B18" s="54"/>
      <c r="C18" s="54"/>
      <c r="D18" s="54"/>
      <c r="E18" s="54"/>
      <c r="F18" s="54"/>
      <c r="G18" s="54"/>
      <c r="H18" s="54"/>
      <c r="I18" s="54"/>
      <c r="J18" s="54"/>
    </row>
    <row r="19" ht="12.75" customHeight="1">
      <c r="A19" s="53" t="s">
        <v>123</v>
      </c>
      <c r="B19" s="54"/>
      <c r="C19" s="54"/>
      <c r="D19" s="54"/>
      <c r="E19" s="54"/>
      <c r="F19" s="54"/>
      <c r="G19" s="54"/>
      <c r="H19" s="54"/>
      <c r="I19" s="54"/>
      <c r="J19" s="54"/>
    </row>
    <row r="20" ht="12.75" customHeight="1">
      <c r="A20" s="53" t="s">
        <v>124</v>
      </c>
      <c r="B20" s="54"/>
      <c r="C20" s="54"/>
      <c r="D20" s="54"/>
      <c r="E20" s="54"/>
      <c r="F20" s="54"/>
      <c r="G20" s="54"/>
      <c r="H20" s="54"/>
      <c r="I20" s="54"/>
      <c r="J20" s="54"/>
    </row>
    <row r="21" ht="12.75" customHeight="1">
      <c r="A21" s="55" t="s">
        <v>125</v>
      </c>
    </row>
    <row r="22" ht="12.75" customHeight="1">
      <c r="A22" s="53" t="s">
        <v>126</v>
      </c>
      <c r="B22" s="54"/>
      <c r="C22" s="54"/>
      <c r="D22" s="54"/>
      <c r="E22" s="54"/>
      <c r="F22" s="54"/>
      <c r="G22" s="54"/>
      <c r="H22" s="54"/>
      <c r="I22" s="54"/>
      <c r="J22" s="54"/>
      <c r="K22" s="54"/>
      <c r="L22" s="54"/>
      <c r="M22" s="54"/>
    </row>
    <row r="23" ht="12.75" customHeight="1">
      <c r="A23" s="57"/>
    </row>
    <row r="24" ht="29.25" customHeight="1">
      <c r="A24" s="58" t="s">
        <v>127</v>
      </c>
    </row>
    <row r="25" ht="12.75" customHeight="1">
      <c r="A25" s="52" t="s">
        <v>128</v>
      </c>
    </row>
    <row r="26" ht="12.75" customHeight="1">
      <c r="A26" s="57" t="s">
        <v>129</v>
      </c>
      <c r="B26" s="46">
        <f>3+F5/4</f>
        <v>4.5</v>
      </c>
    </row>
    <row r="27" ht="12.75" customHeight="1">
      <c r="A27" s="57"/>
      <c r="F27" s="59" t="s">
        <v>130</v>
      </c>
      <c r="G27" s="60">
        <f>1-((SWR-1)/(SWR+1))^2</f>
        <v>0.5950413223</v>
      </c>
    </row>
    <row r="28" ht="12.75" customHeight="1">
      <c r="A28" s="51"/>
    </row>
    <row r="29" ht="28.5" customHeight="1">
      <c r="A29" s="58" t="s">
        <v>131</v>
      </c>
    </row>
    <row r="30" ht="12.75" customHeight="1">
      <c r="A30" s="52" t="s">
        <v>128</v>
      </c>
    </row>
    <row r="31" ht="12.75" customHeight="1">
      <c r="A31" s="61"/>
    </row>
    <row r="32" ht="12.75" customHeight="1">
      <c r="A32" s="62" t="s">
        <v>132</v>
      </c>
      <c r="B32" s="46">
        <f>0.2+F5/20</f>
        <v>0.5</v>
      </c>
      <c r="F32" s="63" t="s">
        <v>130</v>
      </c>
      <c r="G32" s="60">
        <f>1-(1-I_Dc)/(1+I_Dc)</f>
        <v>0.6666666667</v>
      </c>
    </row>
    <row r="33" ht="12.75" customHeight="1">
      <c r="A33" s="61" t="s">
        <v>133</v>
      </c>
    </row>
    <row r="34" ht="12.75" customHeight="1">
      <c r="A34" s="61"/>
    </row>
    <row r="35" ht="30.75" customHeight="1">
      <c r="A35" s="58" t="s">
        <v>134</v>
      </c>
    </row>
    <row r="36" ht="12.75" customHeight="1">
      <c r="A36" s="52" t="s">
        <v>128</v>
      </c>
    </row>
    <row r="37" ht="12.75" customHeight="1">
      <c r="A37" s="61" t="s">
        <v>135</v>
      </c>
      <c r="D37" s="46">
        <f>3+E5/4</f>
        <v>4.25</v>
      </c>
      <c r="E37" s="62" t="s">
        <v>136</v>
      </c>
      <c r="F37" s="62" t="s">
        <v>137</v>
      </c>
      <c r="H37" s="60">
        <f>1/10^(DLri/10)</f>
        <v>0.3758374043</v>
      </c>
    </row>
    <row r="38" ht="12.75" customHeight="1"/>
    <row r="39" ht="30.75" customHeight="1">
      <c r="A39" s="58" t="s">
        <v>138</v>
      </c>
    </row>
    <row r="40" ht="12.75" customHeight="1">
      <c r="A40" s="52" t="s">
        <v>128</v>
      </c>
    </row>
    <row r="41" ht="12.75" customHeight="1">
      <c r="A41" s="52" t="s">
        <v>139</v>
      </c>
      <c r="B41" s="46">
        <f>0.5+F5/10</f>
        <v>1.1</v>
      </c>
      <c r="C41" s="62" t="s">
        <v>140</v>
      </c>
      <c r="D41" s="62" t="s">
        <v>141</v>
      </c>
      <c r="E41" s="46">
        <v>340.0</v>
      </c>
      <c r="F41" s="62" t="s">
        <v>142</v>
      </c>
    </row>
    <row r="42" ht="12.75" customHeight="1">
      <c r="A42" s="61" t="s">
        <v>143</v>
      </c>
      <c r="B42" s="46">
        <v>125.0</v>
      </c>
      <c r="C42" s="46">
        <v>250.0</v>
      </c>
      <c r="D42" s="46">
        <v>500.0</v>
      </c>
      <c r="E42" s="46">
        <v>1000.0</v>
      </c>
      <c r="F42" s="46">
        <v>2000.0</v>
      </c>
      <c r="G42" s="46">
        <v>4000.0</v>
      </c>
      <c r="H42" s="62" t="s">
        <v>144</v>
      </c>
    </row>
    <row r="43" ht="12.75" customHeight="1">
      <c r="A43" s="64" t="s">
        <v>145</v>
      </c>
      <c r="B43" s="46">
        <v>100.0</v>
      </c>
      <c r="C43" s="46">
        <v>100.0</v>
      </c>
      <c r="D43" s="46">
        <v>100.0</v>
      </c>
      <c r="E43" s="46">
        <v>100.0</v>
      </c>
      <c r="F43" s="46">
        <v>100.0</v>
      </c>
      <c r="G43" s="46">
        <v>100.0</v>
      </c>
    </row>
    <row r="44" ht="12.75" customHeight="1">
      <c r="A44" s="64" t="s">
        <v>146</v>
      </c>
      <c r="B44" s="46">
        <v>-16.1</v>
      </c>
      <c r="C44" s="46">
        <v>-8.6</v>
      </c>
      <c r="D44" s="46">
        <v>-3.2</v>
      </c>
      <c r="E44" s="46">
        <v>0.0</v>
      </c>
      <c r="F44" s="46">
        <v>1.2</v>
      </c>
      <c r="G44" s="46">
        <v>1.0</v>
      </c>
    </row>
    <row r="45" ht="12.75" customHeight="1">
      <c r="A45" s="64" t="s">
        <v>147</v>
      </c>
      <c r="B45" s="46">
        <f t="shared" ref="B45:G45" si="1">B43+B44</f>
        <v>83.9</v>
      </c>
      <c r="C45" s="46">
        <f t="shared" si="1"/>
        <v>91.4</v>
      </c>
      <c r="D45" s="46">
        <f t="shared" si="1"/>
        <v>96.8</v>
      </c>
      <c r="E45" s="46">
        <f t="shared" si="1"/>
        <v>100</v>
      </c>
      <c r="F45" s="46">
        <f t="shared" si="1"/>
        <v>101.2</v>
      </c>
      <c r="G45" s="46">
        <f t="shared" si="1"/>
        <v>101</v>
      </c>
      <c r="H45" s="65">
        <f>10*LOG10(H46)</f>
        <v>106.2514753</v>
      </c>
    </row>
    <row r="46" ht="12.75" customHeight="1">
      <c r="A46" s="64" t="s">
        <v>148</v>
      </c>
      <c r="B46" s="46">
        <f t="shared" ref="B46:G46" si="2">10^(B45/10)</f>
        <v>245470891.6</v>
      </c>
      <c r="C46" s="46">
        <f t="shared" si="2"/>
        <v>1380384265</v>
      </c>
      <c r="D46" s="46">
        <f t="shared" si="2"/>
        <v>4786300923</v>
      </c>
      <c r="E46" s="46">
        <f t="shared" si="2"/>
        <v>10000000000</v>
      </c>
      <c r="F46" s="46">
        <f t="shared" si="2"/>
        <v>13182567386</v>
      </c>
      <c r="G46" s="46">
        <f t="shared" si="2"/>
        <v>12589254118</v>
      </c>
      <c r="H46" s="46">
        <f>SUM(B46:G46)</f>
        <v>42183977583</v>
      </c>
    </row>
    <row r="47" ht="12.75" customHeight="1">
      <c r="A47" s="61" t="s">
        <v>149</v>
      </c>
      <c r="B47" s="46">
        <f>2*Delta*B42/c_0</f>
        <v>0.8088235294</v>
      </c>
      <c r="C47" s="46">
        <f>2*Delta*C42/c_0</f>
        <v>1.617647059</v>
      </c>
      <c r="D47" s="46">
        <f>2*Delta*D42/c_0</f>
        <v>3.235294118</v>
      </c>
      <c r="E47" s="46">
        <f>2*Delta*E42/c_0</f>
        <v>6.470588235</v>
      </c>
      <c r="F47" s="46">
        <f>2*Delta*F42/c_0</f>
        <v>12.94117647</v>
      </c>
      <c r="G47" s="46">
        <f>2*Delta*G42/c_0</f>
        <v>25.88235294</v>
      </c>
    </row>
    <row r="48" ht="12.75" customHeight="1">
      <c r="A48" s="61" t="s">
        <v>150</v>
      </c>
      <c r="B48" s="46">
        <f t="shared" ref="B48:G48" si="3">10*LOG10(3+20*B47)</f>
        <v>12.82768679</v>
      </c>
      <c r="C48" s="46">
        <f t="shared" si="3"/>
        <v>15.48425551</v>
      </c>
      <c r="D48" s="46">
        <f t="shared" si="3"/>
        <v>18.30626402</v>
      </c>
      <c r="E48" s="46">
        <f t="shared" si="3"/>
        <v>21.21926574</v>
      </c>
      <c r="F48" s="46">
        <f t="shared" si="3"/>
        <v>24.18008673</v>
      </c>
      <c r="G48" s="46">
        <f t="shared" si="3"/>
        <v>27.16543419</v>
      </c>
      <c r="J48" s="61" t="s">
        <v>133</v>
      </c>
    </row>
    <row r="49" ht="12.75" customHeight="1">
      <c r="A49" s="64" t="s">
        <v>151</v>
      </c>
      <c r="B49" s="46">
        <f t="shared" ref="B49:G49" si="4">B45-B48</f>
        <v>71.07231321</v>
      </c>
      <c r="C49" s="46">
        <f t="shared" si="4"/>
        <v>75.91574449</v>
      </c>
      <c r="D49" s="46">
        <f t="shared" si="4"/>
        <v>78.49373598</v>
      </c>
      <c r="E49" s="46">
        <f t="shared" si="4"/>
        <v>78.78073426</v>
      </c>
      <c r="F49" s="46">
        <f t="shared" si="4"/>
        <v>77.01991327</v>
      </c>
      <c r="G49" s="46">
        <f t="shared" si="4"/>
        <v>73.83456581</v>
      </c>
      <c r="H49" s="65">
        <f>10*LOG10(H50)</f>
        <v>84.35509989</v>
      </c>
    </row>
    <row r="50" ht="12.75" customHeight="1">
      <c r="A50" s="64" t="s">
        <v>152</v>
      </c>
      <c r="B50" s="46">
        <f t="shared" ref="B50:G50" si="5">10^(B49/10)</f>
        <v>12800629.31</v>
      </c>
      <c r="C50" s="46">
        <f t="shared" si="5"/>
        <v>39045811.15</v>
      </c>
      <c r="D50" s="46">
        <f t="shared" si="5"/>
        <v>70692541.87</v>
      </c>
      <c r="E50" s="46">
        <f t="shared" si="5"/>
        <v>75521990.23</v>
      </c>
      <c r="F50" s="46">
        <f t="shared" si="5"/>
        <v>50349055.39</v>
      </c>
      <c r="G50" s="46">
        <f t="shared" si="5"/>
        <v>24180015.82</v>
      </c>
      <c r="H50" s="46">
        <f>SUM(B50:G50)</f>
        <v>272590043.8</v>
      </c>
    </row>
    <row r="51" ht="12.75" customHeight="1">
      <c r="A51" s="64"/>
      <c r="G51" s="63" t="s">
        <v>153</v>
      </c>
      <c r="H51" s="66">
        <f>H45-H49</f>
        <v>21.89637538</v>
      </c>
      <c r="I51" s="67" t="s">
        <v>28</v>
      </c>
    </row>
    <row r="52" ht="12.75" customHeight="1">
      <c r="A52" s="64"/>
    </row>
    <row r="53" ht="16.5" customHeight="1">
      <c r="A53" s="58" t="s">
        <v>154</v>
      </c>
    </row>
    <row r="54" ht="12.75" customHeight="1"/>
    <row r="55" ht="12.75" customHeight="1">
      <c r="A55" s="61" t="s">
        <v>128</v>
      </c>
    </row>
    <row r="56" ht="12.75" customHeight="1">
      <c r="A56" s="68" t="s">
        <v>133</v>
      </c>
    </row>
    <row r="57" ht="12.75" customHeight="1">
      <c r="A57" s="61" t="s">
        <v>155</v>
      </c>
      <c r="B57" s="62" t="s">
        <v>156</v>
      </c>
      <c r="C57" s="62" t="s">
        <v>157</v>
      </c>
    </row>
    <row r="58" ht="12.75" customHeight="1">
      <c r="A58" s="46">
        <v>1.0</v>
      </c>
      <c r="B58" s="46">
        <f>80+C5/2</f>
        <v>81.5</v>
      </c>
      <c r="C58" s="46">
        <f t="shared" ref="C58:C67" si="6">10^(B58/10)</f>
        <v>141253754.5</v>
      </c>
    </row>
    <row r="59" ht="12.75" customHeight="1">
      <c r="A59" s="46">
        <v>2.0</v>
      </c>
      <c r="B59" s="46">
        <f>B58</f>
        <v>81.5</v>
      </c>
      <c r="C59" s="46">
        <f t="shared" si="6"/>
        <v>141253754.5</v>
      </c>
    </row>
    <row r="60" ht="12.75" customHeight="1">
      <c r="A60" s="46">
        <v>3.0</v>
      </c>
      <c r="B60" s="46">
        <f>75+D5/2</f>
        <v>77</v>
      </c>
      <c r="C60" s="46">
        <f t="shared" si="6"/>
        <v>50118723.36</v>
      </c>
    </row>
    <row r="61" ht="12.75" customHeight="1">
      <c r="A61" s="46">
        <v>4.0</v>
      </c>
      <c r="B61" s="46">
        <f>70+E5</f>
        <v>75</v>
      </c>
      <c r="C61" s="46">
        <f t="shared" si="6"/>
        <v>31622776.6</v>
      </c>
    </row>
    <row r="62" ht="12.75" customHeight="1">
      <c r="A62" s="46">
        <v>5.0</v>
      </c>
      <c r="B62" s="46">
        <f>70+E5</f>
        <v>75</v>
      </c>
      <c r="C62" s="46">
        <f t="shared" si="6"/>
        <v>31622776.6</v>
      </c>
    </row>
    <row r="63" ht="12.75" customHeight="1">
      <c r="A63" s="46">
        <v>6.0</v>
      </c>
      <c r="B63" s="46">
        <f>70+E5</f>
        <v>75</v>
      </c>
      <c r="C63" s="46">
        <f t="shared" si="6"/>
        <v>31622776.6</v>
      </c>
    </row>
    <row r="64" ht="12.75" customHeight="1">
      <c r="A64" s="46">
        <v>7.0</v>
      </c>
      <c r="B64" s="46">
        <f>73+F5</f>
        <v>79</v>
      </c>
      <c r="C64" s="46">
        <f t="shared" si="6"/>
        <v>79432823.47</v>
      </c>
    </row>
    <row r="65" ht="12.75" customHeight="1">
      <c r="A65" s="46">
        <v>8.0</v>
      </c>
      <c r="B65" s="62">
        <f t="shared" ref="B65:B67" si="7">B64</f>
        <v>79</v>
      </c>
      <c r="C65" s="46">
        <f t="shared" si="6"/>
        <v>79432823.47</v>
      </c>
    </row>
    <row r="66" ht="12.75" customHeight="1">
      <c r="A66" s="46">
        <v>9.0</v>
      </c>
      <c r="B66" s="62">
        <f t="shared" si="7"/>
        <v>79</v>
      </c>
      <c r="C66" s="46">
        <f t="shared" si="6"/>
        <v>79432823.47</v>
      </c>
    </row>
    <row r="67" ht="12.75" customHeight="1">
      <c r="A67" s="46">
        <v>10.0</v>
      </c>
      <c r="B67" s="62">
        <f t="shared" si="7"/>
        <v>79</v>
      </c>
      <c r="C67" s="46">
        <f t="shared" si="6"/>
        <v>79432823.47</v>
      </c>
    </row>
    <row r="68" ht="12.75" customHeight="1">
      <c r="B68" s="63" t="s">
        <v>158</v>
      </c>
      <c r="C68" s="46">
        <f>AVERAGE(C58:C67)</f>
        <v>74522585.6</v>
      </c>
    </row>
    <row r="69" ht="12.75" customHeight="1">
      <c r="B69" s="62" t="s">
        <v>159</v>
      </c>
      <c r="C69" s="46">
        <f>10*LOG10(C68)</f>
        <v>78.72287915</v>
      </c>
    </row>
    <row r="70" ht="12.75" customHeight="1">
      <c r="B70" s="62" t="s">
        <v>160</v>
      </c>
      <c r="C70" s="46">
        <v>10.0</v>
      </c>
      <c r="D70" s="62" t="s">
        <v>161</v>
      </c>
      <c r="E70" s="46">
        <f>C70*3600</f>
        <v>36000</v>
      </c>
      <c r="F70" s="62" t="s">
        <v>162</v>
      </c>
    </row>
    <row r="71" ht="12.75" customHeight="1">
      <c r="B71" s="63" t="s">
        <v>163</v>
      </c>
      <c r="C71" s="69">
        <f>C69+10*LOG10(T)</f>
        <v>124.2859042</v>
      </c>
      <c r="D71" s="67" t="s">
        <v>28</v>
      </c>
    </row>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sheetData>
  <mergeCells count="5">
    <mergeCell ref="A24:J24"/>
    <mergeCell ref="A29:J29"/>
    <mergeCell ref="A35:J35"/>
    <mergeCell ref="A39:J39"/>
    <mergeCell ref="A53:J53"/>
  </mergeCells>
  <printOptions/>
  <pageMargins bottom="0.75" footer="0.0" header="0.0" left="0.7" right="0.7" top="0.75"/>
  <pageSetup orientation="landscape"/>
  <drawing r:id="rId1"/>
</worksheet>
</file>