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2022\Tests\"/>
    </mc:Choice>
  </mc:AlternateContent>
  <xr:revisionPtr revIDLastSave="0" documentId="13_ncr:1_{EE9F13CC-243C-423B-811F-DF8D49C5A2D3}" xr6:coauthVersionLast="47" xr6:coauthVersionMax="47" xr10:uidLastSave="{00000000-0000-0000-0000-000000000000}"/>
  <bookViews>
    <workbookView xWindow="2152" yWindow="-17910" windowWidth="28800" windowHeight="15472" xr2:uid="{00000000-000D-0000-FFFF-FFFF00000000}"/>
  </bookViews>
  <sheets>
    <sheet name="Solution" sheetId="2" r:id="rId1"/>
    <sheet name="Form responses 1" sheetId="3" r:id="rId2"/>
  </sheets>
  <definedNames>
    <definedName name="A">Solution!$A$5</definedName>
    <definedName name="B">Solution!$B$5</definedName>
    <definedName name="Beta">Solution!$B$45</definedName>
    <definedName name="CC">Solution!$C$5</definedName>
    <definedName name="D">Solution!$D$5</definedName>
    <definedName name="dist">Solution!$E$45</definedName>
    <definedName name="E">Solution!$E$5</definedName>
    <definedName name="F">Solution!$F$5</definedName>
    <definedName name="Ncars">Solution!$E$40</definedName>
    <definedName name="Ntracks">Solution!$K$40</definedName>
    <definedName name="Ntrucks">Solution!$K$40</definedName>
    <definedName name="SELcars">Solution!$B$40</definedName>
    <definedName name="SELtrucks">Solution!$H$40</definedName>
    <definedName name="Theta">Solution!$D$36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9" i="3" l="1"/>
  <c r="AV8" i="3"/>
  <c r="AV7" i="3"/>
  <c r="AV6" i="3"/>
  <c r="AV5" i="3"/>
  <c r="AV4" i="3"/>
  <c r="AV3" i="3"/>
  <c r="AV2" i="3"/>
  <c r="AS9" i="3"/>
  <c r="AS8" i="3"/>
  <c r="AS7" i="3"/>
  <c r="AS6" i="3"/>
  <c r="AS5" i="3"/>
  <c r="AS4" i="3"/>
  <c r="AS3" i="3"/>
  <c r="AS2" i="3"/>
  <c r="AO9" i="3"/>
  <c r="AO8" i="3"/>
  <c r="AO7" i="3"/>
  <c r="AO6" i="3"/>
  <c r="AO5" i="3"/>
  <c r="AO4" i="3"/>
  <c r="AO3" i="3"/>
  <c r="AO2" i="3"/>
  <c r="J45" i="2"/>
  <c r="B36" i="2"/>
  <c r="Y9" i="3"/>
  <c r="X9" i="3"/>
  <c r="W9" i="3"/>
  <c r="V9" i="3"/>
  <c r="U9" i="3"/>
  <c r="T9" i="3"/>
  <c r="Y8" i="3"/>
  <c r="X8" i="3"/>
  <c r="W8" i="3"/>
  <c r="V8" i="3"/>
  <c r="U8" i="3"/>
  <c r="T8" i="3"/>
  <c r="Y7" i="3"/>
  <c r="X7" i="3"/>
  <c r="W7" i="3"/>
  <c r="V7" i="3"/>
  <c r="U7" i="3"/>
  <c r="T7" i="3"/>
  <c r="Y6" i="3"/>
  <c r="X6" i="3"/>
  <c r="W6" i="3"/>
  <c r="V6" i="3"/>
  <c r="U6" i="3"/>
  <c r="T6" i="3"/>
  <c r="Y5" i="3"/>
  <c r="X5" i="3"/>
  <c r="W5" i="3"/>
  <c r="V5" i="3"/>
  <c r="U5" i="3"/>
  <c r="T5" i="3"/>
  <c r="Y4" i="3"/>
  <c r="X4" i="3"/>
  <c r="W4" i="3"/>
  <c r="V4" i="3"/>
  <c r="U4" i="3"/>
  <c r="T4" i="3"/>
  <c r="Y3" i="3"/>
  <c r="X3" i="3"/>
  <c r="W3" i="3"/>
  <c r="V3" i="3"/>
  <c r="U3" i="3"/>
  <c r="T3" i="3"/>
  <c r="Y2" i="3"/>
  <c r="X2" i="3"/>
  <c r="W2" i="3"/>
  <c r="V2" i="3"/>
  <c r="U2" i="3"/>
  <c r="T2" i="3"/>
  <c r="R9" i="3"/>
  <c r="Q9" i="3"/>
  <c r="P9" i="3"/>
  <c r="O9" i="3"/>
  <c r="N9" i="3"/>
  <c r="M9" i="3"/>
  <c r="R8" i="3"/>
  <c r="Q8" i="3"/>
  <c r="P8" i="3"/>
  <c r="O8" i="3"/>
  <c r="N8" i="3"/>
  <c r="M8" i="3"/>
  <c r="R7" i="3"/>
  <c r="Q7" i="3"/>
  <c r="P7" i="3"/>
  <c r="O7" i="3"/>
  <c r="N7" i="3"/>
  <c r="M7" i="3"/>
  <c r="R6" i="3"/>
  <c r="Q6" i="3"/>
  <c r="P6" i="3"/>
  <c r="O6" i="3"/>
  <c r="N6" i="3"/>
  <c r="M6" i="3"/>
  <c r="R5" i="3"/>
  <c r="Q5" i="3"/>
  <c r="P5" i="3"/>
  <c r="O5" i="3"/>
  <c r="N5" i="3"/>
  <c r="M5" i="3"/>
  <c r="R4" i="3"/>
  <c r="Q4" i="3"/>
  <c r="P4" i="3"/>
  <c r="O4" i="3"/>
  <c r="N4" i="3"/>
  <c r="M4" i="3"/>
  <c r="R3" i="3"/>
  <c r="Q3" i="3"/>
  <c r="P3" i="3"/>
  <c r="O3" i="3"/>
  <c r="N3" i="3"/>
  <c r="M3" i="3"/>
  <c r="R2" i="3"/>
  <c r="Q2" i="3"/>
  <c r="P2" i="3"/>
  <c r="O2" i="3"/>
  <c r="N2" i="3"/>
  <c r="M2" i="3"/>
  <c r="H58" i="2"/>
  <c r="F59" i="2"/>
  <c r="F58" i="2"/>
  <c r="C59" i="2"/>
  <c r="B59" i="2"/>
  <c r="E59" i="2" s="1"/>
  <c r="C58" i="2"/>
  <c r="E58" i="2" s="1"/>
  <c r="B58" i="2"/>
  <c r="H51" i="2"/>
  <c r="F52" i="2"/>
  <c r="F51" i="2"/>
  <c r="C52" i="2"/>
  <c r="B52" i="2"/>
  <c r="E52" i="2" s="1"/>
  <c r="C51" i="2"/>
  <c r="B51" i="2"/>
  <c r="E51" i="2" s="1"/>
  <c r="F9" i="3"/>
  <c r="F8" i="3"/>
  <c r="F7" i="3"/>
  <c r="G7" i="3" s="1"/>
  <c r="F6" i="3"/>
  <c r="F5" i="3"/>
  <c r="G5" i="3" s="1"/>
  <c r="F4" i="3"/>
  <c r="F3" i="3"/>
  <c r="F2" i="3"/>
  <c r="E45" i="2"/>
  <c r="K40" i="2"/>
  <c r="H40" i="2"/>
  <c r="E40" i="2"/>
  <c r="B40" i="2"/>
  <c r="D36" i="2"/>
  <c r="J36" i="2" s="1"/>
  <c r="H41" i="2" l="1" a="1"/>
  <c r="H41" i="2" s="1"/>
  <c r="H5" i="3"/>
  <c r="G8" i="3"/>
  <c r="G3" i="3"/>
  <c r="H3" i="3" s="1"/>
  <c r="G6" i="3"/>
  <c r="H6" i="3" s="1"/>
  <c r="I6" i="3" s="1"/>
  <c r="G9" i="3"/>
  <c r="H7" i="3"/>
  <c r="I7" i="3" s="1"/>
  <c r="G2" i="3"/>
  <c r="G4" i="3"/>
  <c r="H4" i="3" s="1"/>
  <c r="I3" i="3" l="1"/>
  <c r="I4" i="3"/>
  <c r="J4" i="3" s="1"/>
  <c r="J6" i="3"/>
  <c r="K6" i="3" s="1"/>
  <c r="I5" i="3"/>
  <c r="J5" i="3" s="1"/>
  <c r="H9" i="3"/>
  <c r="I9" i="3" s="1"/>
  <c r="H2" i="3"/>
  <c r="H8" i="3"/>
  <c r="J7" i="3"/>
  <c r="K3" i="3" l="1"/>
  <c r="AG3" i="3" s="1"/>
  <c r="AC6" i="3"/>
  <c r="AK6" i="3"/>
  <c r="K4" i="3"/>
  <c r="J3" i="3"/>
  <c r="K5" i="3"/>
  <c r="K7" i="3"/>
  <c r="AG7" i="3"/>
  <c r="AG4" i="3"/>
  <c r="AG6" i="3"/>
  <c r="I2" i="3"/>
  <c r="J2" i="3" s="1"/>
  <c r="J9" i="3"/>
  <c r="I8" i="3"/>
  <c r="AC5" i="3" l="1"/>
  <c r="AK5" i="3"/>
  <c r="AC7" i="3"/>
  <c r="AK7" i="3"/>
  <c r="AC4" i="3"/>
  <c r="AK4" i="3"/>
  <c r="AC3" i="3"/>
  <c r="AK3" i="3"/>
  <c r="K9" i="3"/>
  <c r="AG5" i="3"/>
  <c r="J8" i="3"/>
  <c r="K2" i="3"/>
  <c r="AC9" i="3" l="1"/>
  <c r="AK9" i="3"/>
  <c r="AC2" i="3"/>
  <c r="AK2" i="3"/>
  <c r="AG9" i="3"/>
  <c r="K8" i="3"/>
  <c r="AG8" i="3" s="1"/>
  <c r="AG2" i="3"/>
  <c r="AC8" i="3" l="1"/>
  <c r="AK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C2" authorId="0" shapeId="0" xr:uid="{FC6D4370-E867-4704-8895-7A1E6033A56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" authorId="0" shapeId="0" xr:uid="{867C1BC4-7368-4DEB-8766-EC2395082C7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 xr:uid="{620BFAE8-0B5E-4272-96B8-667DBCA2F5E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" authorId="0" shapeId="0" xr:uid="{DE1AADA4-ACCD-4369-8960-9FBB7B35B2C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" authorId="0" shapeId="0" xr:uid="{86759944-0329-441F-A5F8-2926F826319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" authorId="0" shapeId="0" xr:uid="{22400EB6-960D-47A1-9E42-E8D6687E26B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 shapeId="0" xr:uid="{E962D914-0782-4E39-B3D9-ABED032E190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3" authorId="0" shapeId="0" xr:uid="{14CEA4D2-237C-4B2B-8C51-3C29FF24BFE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" authorId="0" shapeId="0" xr:uid="{69FFC5A5-6029-4CFD-8D89-A537E375F6C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3" authorId="0" shapeId="0" xr:uid="{3E416FB0-B12D-4048-A310-5BEE85CD987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 shapeId="0" xr:uid="{C8955E06-0A30-47BB-AF1D-2C32E510061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4" authorId="0" shapeId="0" xr:uid="{3D73166D-B734-4259-878A-1F739B9E49C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" authorId="0" shapeId="0" xr:uid="{4D916AC2-2D5F-40E2-9C9C-002F7B3E0094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4" authorId="0" shapeId="0" xr:uid="{1080DD00-F262-4B5E-A0B9-F339B6294F8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4" authorId="0" shapeId="0" xr:uid="{653E3D69-A6B8-4EC2-BD11-E3CE3B8182B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 xr:uid="{8B6919E9-AB8E-4A58-B490-47C5B091A7B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5" authorId="0" shapeId="0" xr:uid="{A5B3FA64-BF0F-4834-B8DB-33E7C5B3EEF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" authorId="0" shapeId="0" xr:uid="{9A8D4BCD-5DC7-4C8D-8819-66E0508D4D8C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0" shapeId="0" xr:uid="{B74D7DEE-4CEC-49F8-9948-FD48D01C392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5" authorId="0" shapeId="0" xr:uid="{EBDB7B70-F9D6-4EE8-96AD-3ACF003A362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" authorId="0" shapeId="0" xr:uid="{BB3ADA1D-F026-462F-909D-7AE4EFB8068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" authorId="0" shapeId="0" xr:uid="{D4CBF964-F962-4D38-B203-82D52400639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" authorId="0" shapeId="0" xr:uid="{F8223812-EFDE-442F-B21E-4D54DEED071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6" authorId="0" shapeId="0" xr:uid="{CF132F34-ECEB-425D-886C-C037996026A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6" authorId="0" shapeId="0" xr:uid="{6A1E16B7-2C64-47A2-BA3D-047AAEE43D6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FFE784BB-DC43-48D6-9E80-983A69AF7BF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62AC8B93-EC6A-4FAE-85A4-D0DD6198805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7" authorId="0" shapeId="0" xr:uid="{B870C086-265A-4F54-A31D-B91075A9DC7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" authorId="0" shapeId="0" xr:uid="{D98BDD13-3DD3-4976-A221-22B588E745C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7" authorId="0" shapeId="0" xr:uid="{9DF0C355-998A-45B6-A4FE-0F9C274751E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 xr:uid="{3A55FAF0-51EA-4B62-A3FE-7822190D76B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" authorId="0" shapeId="0" xr:uid="{12DC21E7-5C3E-4891-AAC6-5936CCD1A3B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8" authorId="0" shapeId="0" xr:uid="{14F6388E-D389-4125-A11A-46ED0CB28C3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8" authorId="0" shapeId="0" xr:uid="{271E1180-E4C6-4F2C-AFC8-CB9974913EB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8" authorId="0" shapeId="0" xr:uid="{38CF4118-FC43-465B-BA9D-6DC057CFBAA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" authorId="0" shapeId="0" xr:uid="{5734F4DE-C6B3-4905-8A1A-4219470F8B4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9" authorId="0" shapeId="0" xr:uid="{B0FEFF2F-8345-4978-B009-3C29173CA13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9" authorId="0" shapeId="0" xr:uid="{BE6A7671-2798-4901-957A-CE71707D14C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9" authorId="0" shapeId="0" xr:uid="{74114374-EF9A-4B8D-AE58-667286ED0E04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9" authorId="0" shapeId="0" xr:uid="{2D40CE11-B762-4550-B8F5-E1A7ABEF40D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<sst xmlns="http://schemas.openxmlformats.org/spreadsheetml/2006/main" count="232" uniqueCount="137">
  <si>
    <t>Timestamp</t>
  </si>
  <si>
    <t>Email address</t>
  </si>
  <si>
    <t>Surname and Name</t>
  </si>
  <si>
    <t>Matricula</t>
  </si>
  <si>
    <t>1) Check the sentences you think are TRUE</t>
  </si>
  <si>
    <t>hugues.dplx@gmail.com</t>
  </si>
  <si>
    <t>Hugues du Peloux</t>
  </si>
  <si>
    <t>080500</t>
  </si>
  <si>
    <t>pietro.godi@studenti.unipr.it</t>
  </si>
  <si>
    <t>Godi Pietro</t>
  </si>
  <si>
    <t>juliette.chevignard@orange.fr</t>
  </si>
  <si>
    <t>florian.bayle@studenti.unipr.it</t>
  </si>
  <si>
    <t>sarah.ferro-milon@student.junia.com</t>
  </si>
  <si>
    <t>nicola.tunnera@studenti.unipr.it</t>
  </si>
  <si>
    <t>Tunnera Nicola</t>
  </si>
  <si>
    <t>filippo.volpi@studenti.unipr.it</t>
  </si>
  <si>
    <t>salvatore.misiano@unipr.it</t>
  </si>
  <si>
    <t>A</t>
  </si>
  <si>
    <t>B</t>
  </si>
  <si>
    <t>C</t>
  </si>
  <si>
    <t>D</t>
  </si>
  <si>
    <t>E</t>
  </si>
  <si>
    <t>F</t>
  </si>
  <si>
    <t>Applied Acoustics - In-Class test - 19/12/2022</t>
  </si>
  <si>
    <r>
      <t>1)</t>
    </r>
    <r>
      <rPr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Calibri"/>
        <family val="2"/>
      </rPr>
      <t>Check the sentences you think are TRUE</t>
    </r>
  </si>
  <si>
    <t>multiple answers allowed: for each answer, 1 point if correct, -1 point if wrong, 0 point if "not selected"</t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</si>
  <si>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A FIR filter can emulate any linear, time invariant system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</si>
  <si>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A FIR filter can emulate also not-linear and/or time-variant systems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</si>
  <si>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FIR filters can easily be implemented only with PCM data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</si>
  <si>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FIR filters an easily be implemented also with PDM, bitstream data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</si>
  <si>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FIR filters can control independently gain and phase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</si>
  <si>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IIR filters can control independently gain and phase</t>
    </r>
  </si>
  <si>
    <r>
      <t xml:space="preserve">2) </t>
    </r>
    <r>
      <rPr>
        <b/>
        <sz val="11"/>
        <color rgb="FF202124"/>
        <rFont val="Calibri"/>
        <family val="2"/>
      </rPr>
      <t>Check the playback systems which provide periphonic reproduction (elevation)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</si>
  <si>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Dolby Digital surround 5.1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</si>
  <si>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Binaural over headphones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</si>
  <si>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Binaural over a loudspeaker pair (stereo Dipole)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</si>
  <si>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Dolby Atmos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</si>
  <si>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Ambisonics, High Order Ambisonics</t>
    </r>
  </si>
  <si>
    <r>
      <t>◻</t>
    </r>
    <r>
      <rPr>
        <sz val="7"/>
        <color rgb="FF202124"/>
        <rFont val="Times New Roman"/>
        <family val="1"/>
      </rPr>
      <t xml:space="preserve">      </t>
    </r>
    <r>
      <rPr>
        <sz val="11"/>
        <color rgb="FF202124"/>
        <rFont val="Calibri"/>
        <family val="2"/>
      </rPr>
      <t>Wave Field Synthesis</t>
    </r>
  </si>
  <si>
    <t>3) Which of the following streaming portals supports natively Ambisonics 1st order?</t>
  </si>
  <si>
    <t>Only one answer allowed, 1 point if correct, -1 if wrong, 0 if no answer</t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</si>
  <si>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Apple Music</t>
    </r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</si>
  <si>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Tidal</t>
    </r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</si>
  <si>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Spotify</t>
    </r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</si>
  <si>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Youtube</t>
    </r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</si>
  <si>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Facebook</t>
    </r>
  </si>
  <si>
    <r>
      <t>○</t>
    </r>
    <r>
      <rPr>
        <sz val="7"/>
        <color rgb="FF202124"/>
        <rFont val="Times New Roman"/>
        <family val="1"/>
      </rPr>
      <t xml:space="preserve">        </t>
    </r>
    <r>
      <rPr>
        <sz val="11"/>
        <color rgb="FF202124"/>
        <rFont val="Calibri"/>
        <family val="2"/>
      </rPr>
      <t>Vimeo</t>
    </r>
  </si>
  <si>
    <r>
      <t xml:space="preserve">4) </t>
    </r>
    <r>
      <rPr>
        <b/>
        <sz val="11"/>
        <color rgb="FF202124"/>
        <rFont val="Calibri"/>
        <family val="2"/>
      </rPr>
      <t>A third order cardioid microphone is synthesized from a Zylia microphone array. Compute the attenuation of a sound source located 50+F*3 degrees off axis in comparison with a source located on axis at the same distance.</t>
    </r>
  </si>
  <si>
    <t>(write number and measurement unit)</t>
  </si>
  <si>
    <r>
      <t xml:space="preserve"> </t>
    </r>
    <r>
      <rPr>
        <b/>
        <sz val="11"/>
        <color rgb="FF000000"/>
        <rFont val="Calibri"/>
        <family val="2"/>
      </rPr>
      <t xml:space="preserve">5) DISIA: Compute the emission level La,eq at 7.5m distance of a road carrying 1000+E*100 cars/h having a SEL of 70+F dB(A) and 100+D*10 trucks/h having a SEL of 80+C dB(A). </t>
    </r>
  </si>
  <si>
    <r>
      <t xml:space="preserve"> </t>
    </r>
    <r>
      <rPr>
        <b/>
        <sz val="11"/>
        <color rgb="FF000000"/>
        <rFont val="Calibri"/>
        <family val="2"/>
      </rPr>
      <t>6) DISIA: Compute the excess attenuation due to air absorption when Beta=0.0018 m-1, neglecting the spherical divergence factor  4πd², for a propagation distance d of 100+F*20 m.</t>
    </r>
  </si>
  <si>
    <t xml:space="preserve"> 7) Ramsete: an omni sound source is located at the origin, coordinates (0,0,0). Two receivers are located at (C,D,1.2) and (E,F,1.5) - Compute the delay between the time of arrival of direct sound on the two receivers (t1-t2),</t>
  </si>
  <si>
    <t>8) Ramsete: an omni sound source is located at the origin, coordinates (0,0,0). Two receivers are located at (C,D,1.2) and (E,F,1.5) - Compute the SPL difference between the levels of the direct sound on the two receivers (Leq1-Leq2).</t>
  </si>
  <si>
    <t>Theta =</t>
  </si>
  <si>
    <t>°       =</t>
  </si>
  <si>
    <t>rad</t>
  </si>
  <si>
    <t>DeltaL = 20*log10((0.5+0.5*cos(theta))^3) =</t>
  </si>
  <si>
    <t>dB</t>
  </si>
  <si>
    <t>SELcars =</t>
  </si>
  <si>
    <t>Ncars =</t>
  </si>
  <si>
    <t>SELtrucks =</t>
  </si>
  <si>
    <t>dB(A)</t>
  </si>
  <si>
    <t>Ntrucks =</t>
  </si>
  <si>
    <t>La,eq = 10*log10((Ncars*10^(SELcars/10)+Ntrucks*10^(SELtrucks/10))/3600) =</t>
  </si>
  <si>
    <t>Beta =</t>
  </si>
  <si>
    <t>m^-1</t>
  </si>
  <si>
    <t>m</t>
  </si>
  <si>
    <t>75.6 (dB)</t>
  </si>
  <si>
    <t>0.003 [s]</t>
  </si>
  <si>
    <t>73.7 [dB(A)]</t>
  </si>
  <si>
    <t>Youtube</t>
  </si>
  <si>
    <t>Binaural over headphones, Binaural over a loudspeaker pair (stereo Dipole), Ambisonics, High Order Ambisonics, Wave Field Synthesis</t>
  </si>
  <si>
    <t>A FIR filter can emulate any linear, time invariant system, A FIR filter can emulate also not-linear and/or time-variant systems, FIR filters an easily be implemented also with PDM, bitstream data, FIR filters can control independently gain and phase</t>
  </si>
  <si>
    <t>Filippo Volpi</t>
  </si>
  <si>
    <t>SPL = - 0,1825 dB</t>
  </si>
  <si>
    <t>Deltat = 0,000447 s = 0,447 ms</t>
  </si>
  <si>
    <t>La,eq = 73,9942 dB(A) at 7,5 m</t>
  </si>
  <si>
    <t>Delta(dB) = -9,26056 dB</t>
  </si>
  <si>
    <t>Binaural over a loudspeaker pair (stereo Dipole), Ambisonics, High Order Ambisonics, Wave Field Synthesis</t>
  </si>
  <si>
    <t>A FIR filter can emulate any linear, time invariant system, FIR filters an easily be implemented also with PDM, bitstream data, FIR filters can control independently gain and phase</t>
  </si>
  <si>
    <t>Sarah Ferro Milon</t>
  </si>
  <si>
    <t>3,94 dB</t>
  </si>
  <si>
    <t>-5,71 ms</t>
  </si>
  <si>
    <t>62,31 dB(A)</t>
  </si>
  <si>
    <t>-2,46 dB</t>
  </si>
  <si>
    <t>Juliette Chevignard</t>
  </si>
  <si>
    <t>80.7 dB</t>
  </si>
  <si>
    <t>0.009 s</t>
  </si>
  <si>
    <t>74.75 dB(A)</t>
  </si>
  <si>
    <t>10,7 dB</t>
  </si>
  <si>
    <t>0,0107s</t>
  </si>
  <si>
    <t>61,41 dB</t>
  </si>
  <si>
    <t>-1,52 dB</t>
  </si>
  <si>
    <t>71.2 dB</t>
  </si>
  <si>
    <t>0.001 s</t>
  </si>
  <si>
    <t>74.39 dB(A)</t>
  </si>
  <si>
    <t>-1.98 dB</t>
  </si>
  <si>
    <t>5.44 ms</t>
  </si>
  <si>
    <t>70.50 dB(A)</t>
  </si>
  <si>
    <t>Binaural over a loudspeaker pair (stereo Dipole), Dolby Atmos, Ambisonics, High Order Ambisonics, Wave Field Synthesis</t>
  </si>
  <si>
    <t>BAYLE Florian</t>
  </si>
  <si>
    <t>4.82 dB</t>
  </si>
  <si>
    <t>12.02 ms</t>
  </si>
  <si>
    <t>-56.33 dB(A)</t>
  </si>
  <si>
    <t>60.30 dB(A)</t>
  </si>
  <si>
    <t>-19 dB</t>
  </si>
  <si>
    <t>Dolby Digital surround 5.1, Wave Field Synthesis</t>
  </si>
  <si>
    <t>Salvatore Misiano</t>
  </si>
  <si>
    <t>7) Ramsete: an omni sound source is located at the origin, coordinates (0,0,0). Two receivers are located at (C,D,1.2) and (E,F,1.5) - Compute the delay between the time of arrival of direct sound on the two receivers (t1-t2).</t>
  </si>
  <si>
    <t>6)  DISIA: Compute the excess attenuation due to air absorption when Beta=0.0018 m-1, neglecting the spherical divergence factor  4πd², for a propagation distance d of 100+F*20 m.</t>
  </si>
  <si>
    <t xml:space="preserve">5) DISIA: Compute the emission level La,eq at 7.5m distance of a road carrying 1000+E*100 cars/h having a SEL of 70+F dB(A) and 100+D*10 trucks/h having a SEL of 80+C dB(A). </t>
  </si>
  <si>
    <t>4) A third order cardioid microphone is synthesized from a Zylia microphone array. Compute the attenuation of a sound source located 50+F*3 degrees off axis in comparison with a source located on axis at the same distance.</t>
  </si>
  <si>
    <t>2) Check the playback systems which provide periphonic reproduction (elevation)</t>
  </si>
  <si>
    <t>N.</t>
  </si>
  <si>
    <t>S</t>
  </si>
  <si>
    <t>R1</t>
  </si>
  <si>
    <t>R2</t>
  </si>
  <si>
    <t>X</t>
  </si>
  <si>
    <t>Y</t>
  </si>
  <si>
    <t>Z</t>
  </si>
  <si>
    <t>d (m)</t>
  </si>
  <si>
    <t>t (s)</t>
  </si>
  <si>
    <t>Delta t =</t>
  </si>
  <si>
    <t>ms</t>
  </si>
  <si>
    <t>SPL (dB)</t>
  </si>
  <si>
    <t>Delta L =</t>
  </si>
  <si>
    <t>Score</t>
  </si>
  <si>
    <t>Notes</t>
  </si>
  <si>
    <t>You should write ONLY number and measurmeent unit, using decimal dot, not comma</t>
  </si>
  <si>
    <t>You should use decimal dot, not comma</t>
  </si>
  <si>
    <t>OK Value</t>
  </si>
  <si>
    <t>OK unit</t>
  </si>
  <si>
    <t>dist =</t>
  </si>
  <si>
    <t>DeltaL=10*log10(exp(-Beta*dist)) =</t>
  </si>
  <si>
    <t>TOTAL</t>
  </si>
  <si>
    <t>Measurement unit is missing</t>
  </si>
  <si>
    <t>Wrong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</si>
</sst>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9" formatCode="0.0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7"/>
      <color rgb="FF000000"/>
      <name val="Times New Roman"/>
      <family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202124"/>
      <name val="Noto Sans Symbols"/>
    </font>
    <font>
      <sz val="7"/>
      <color rgb="FF202124"/>
      <name val="Times New Roman"/>
      <family val="1"/>
    </font>
    <font>
      <sz val="11"/>
      <color rgb="FF202124"/>
      <name val="Calibri"/>
      <family val="2"/>
    </font>
    <font>
      <b/>
      <sz val="11"/>
      <color rgb="FF202124"/>
      <name val="Calibri"/>
      <family val="2"/>
    </font>
    <font>
      <i/>
      <sz val="11"/>
      <color rgb="FF202124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FF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8" fillId="2" borderId="0" xfId="0" applyFont="1" applyFill="1" applyAlignment="1">
      <alignment horizontal="left" vertical="center" indent="4"/>
    </xf>
    <xf numFmtId="0" fontId="0" fillId="2" borderId="0" xfId="0" applyFill="1"/>
    <xf numFmtId="0" fontId="10" fillId="2" borderId="0" xfId="0" applyFont="1" applyFill="1" applyAlignment="1">
      <alignment horizontal="left" vertical="center" indent="4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2" fillId="0" borderId="0" xfId="0" applyFont="1"/>
    <xf numFmtId="2" fontId="13" fillId="0" borderId="7" xfId="0" applyNumberFormat="1" applyFont="1" applyBorder="1"/>
    <xf numFmtId="2" fontId="13" fillId="0" borderId="8" xfId="0" applyNumberFormat="1" applyFont="1" applyBorder="1"/>
    <xf numFmtId="0" fontId="2" fillId="0" borderId="0" xfId="1"/>
    <xf numFmtId="0" fontId="1" fillId="0" borderId="0" xfId="1" applyFont="1"/>
    <xf numFmtId="0" fontId="15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2" fillId="4" borderId="0" xfId="1" applyFill="1"/>
    <xf numFmtId="0" fontId="2" fillId="2" borderId="0" xfId="1" applyFill="1"/>
    <xf numFmtId="0" fontId="13" fillId="0" borderId="0" xfId="1" applyFont="1"/>
    <xf numFmtId="0" fontId="2" fillId="5" borderId="0" xfId="1" applyFill="1"/>
    <xf numFmtId="169" fontId="0" fillId="0" borderId="9" xfId="0" applyNumberFormat="1" applyBorder="1"/>
    <xf numFmtId="0" fontId="2" fillId="0" borderId="9" xfId="0" applyFont="1" applyBorder="1"/>
    <xf numFmtId="2" fontId="0" fillId="0" borderId="9" xfId="0" applyNumberFormat="1" applyBorder="1"/>
    <xf numFmtId="0" fontId="2" fillId="3" borderId="1" xfId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2" xfId="1" applyFont="1" applyFill="1" applyBorder="1"/>
    <xf numFmtId="0" fontId="14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0" xfId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" fillId="5" borderId="9" xfId="1" applyFont="1" applyFill="1" applyBorder="1"/>
    <xf numFmtId="0" fontId="2" fillId="0" borderId="9" xfId="1" applyBorder="1"/>
    <xf numFmtId="0" fontId="1" fillId="0" borderId="9" xfId="1" quotePrefix="1" applyFont="1" applyBorder="1" applyAlignment="1">
      <alignment horizontal="center"/>
    </xf>
    <xf numFmtId="0" fontId="1" fillId="2" borderId="9" xfId="1" applyFont="1" applyFill="1" applyBorder="1"/>
    <xf numFmtId="0" fontId="1" fillId="4" borderId="9" xfId="1" applyFont="1" applyFill="1" applyBorder="1"/>
    <xf numFmtId="0" fontId="2" fillId="0" borderId="4" xfId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5" xfId="1" applyBorder="1"/>
    <xf numFmtId="169" fontId="0" fillId="0" borderId="5" xfId="0" applyNumberFormat="1" applyBorder="1"/>
    <xf numFmtId="0" fontId="2" fillId="0" borderId="5" xfId="0" applyFont="1" applyBorder="1"/>
    <xf numFmtId="2" fontId="0" fillId="0" borderId="5" xfId="0" applyNumberFormat="1" applyBorder="1"/>
    <xf numFmtId="0" fontId="13" fillId="0" borderId="6" xfId="1" applyFont="1" applyBorder="1" applyAlignment="1">
      <alignment horizontal="center"/>
    </xf>
    <xf numFmtId="0" fontId="1" fillId="6" borderId="9" xfId="1" applyFont="1" applyFill="1" applyBorder="1"/>
    <xf numFmtId="0" fontId="2" fillId="6" borderId="0" xfId="1" applyFill="1"/>
  </cellXfs>
  <cellStyles count="2">
    <cellStyle name="Normal" xfId="0" builtinId="0"/>
    <cellStyle name="Normal 2" xfId="1" xr:uid="{42978942-4240-4371-9D1B-BE3ECBD58331}"/>
  </cellStyles>
  <dxfs count="27"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292552</xdr:colOff>
          <xdr:row>42</xdr:row>
          <xdr:rowOff>295955</xdr:rowOff>
        </xdr:from>
        <xdr:to>
          <xdr:col>14</xdr:col>
          <xdr:colOff>122655</xdr:colOff>
          <xdr:row>45</xdr:row>
          <xdr:rowOff>3400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78EE734-64AF-5365-80F6-B38C151C1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D2F8-BC9F-4744-B85D-5D1C7B3D2D23}">
  <dimension ref="A1:N59"/>
  <sheetViews>
    <sheetView tabSelected="1" zoomScale="140" zoomScaleNormal="140" workbookViewId="0"/>
  </sheetViews>
  <sheetFormatPr defaultRowHeight="12.75"/>
  <cols>
    <col min="7" max="7" width="11.19921875" customWidth="1"/>
  </cols>
  <sheetData>
    <row r="1" spans="1:8" ht="13.9">
      <c r="A1" s="1" t="s">
        <v>23</v>
      </c>
    </row>
    <row r="3" spans="1:8" ht="13.15" thickBot="1">
      <c r="A3" t="s">
        <v>3</v>
      </c>
    </row>
    <row r="4" spans="1:8">
      <c r="A4" s="2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4" t="s">
        <v>22</v>
      </c>
    </row>
    <row r="5" spans="1:8" ht="13.15" thickBot="1">
      <c r="A5" s="5">
        <v>1</v>
      </c>
      <c r="B5" s="6">
        <v>2</v>
      </c>
      <c r="C5" s="6">
        <v>3</v>
      </c>
      <c r="D5" s="6">
        <v>4</v>
      </c>
      <c r="E5" s="6">
        <v>5</v>
      </c>
      <c r="F5" s="7">
        <v>6</v>
      </c>
    </row>
    <row r="7" spans="1:8" ht="14.25">
      <c r="A7" s="8" t="s">
        <v>24</v>
      </c>
    </row>
    <row r="8" spans="1:8" ht="14.25">
      <c r="A8" s="9" t="s">
        <v>25</v>
      </c>
    </row>
    <row r="9" spans="1:8" ht="14.25">
      <c r="A9" s="14" t="s">
        <v>26</v>
      </c>
      <c r="B9" s="15"/>
      <c r="C9" s="15"/>
      <c r="D9" s="15"/>
      <c r="E9" s="15"/>
      <c r="F9" s="15"/>
      <c r="G9" s="15"/>
      <c r="H9" s="15"/>
    </row>
    <row r="10" spans="1:8" ht="14.25">
      <c r="A10" s="10" t="s">
        <v>27</v>
      </c>
    </row>
    <row r="11" spans="1:8" ht="14.25">
      <c r="A11" s="14" t="s">
        <v>28</v>
      </c>
      <c r="B11" s="15"/>
      <c r="C11" s="15"/>
      <c r="D11" s="15"/>
      <c r="E11" s="15"/>
      <c r="F11" s="15"/>
      <c r="G11" s="15"/>
      <c r="H11" s="15"/>
    </row>
    <row r="12" spans="1:8" ht="14.25">
      <c r="A12" s="10" t="s">
        <v>29</v>
      </c>
    </row>
    <row r="13" spans="1:8" ht="14.25">
      <c r="A13" s="14" t="s">
        <v>30</v>
      </c>
      <c r="B13" s="15"/>
      <c r="C13" s="15"/>
      <c r="D13" s="15"/>
      <c r="E13" s="15"/>
      <c r="F13" s="15"/>
      <c r="G13" s="15"/>
      <c r="H13" s="15"/>
    </row>
    <row r="14" spans="1:8" ht="14.25">
      <c r="A14" s="10" t="s">
        <v>31</v>
      </c>
    </row>
    <row r="15" spans="1:8" ht="13.5">
      <c r="A15" s="10"/>
    </row>
    <row r="16" spans="1:8" ht="14.25">
      <c r="A16" s="11" t="s">
        <v>32</v>
      </c>
    </row>
    <row r="17" spans="1:7" ht="14.25">
      <c r="A17" s="9" t="s">
        <v>25</v>
      </c>
    </row>
    <row r="18" spans="1:7" ht="14.25">
      <c r="A18" s="10" t="s">
        <v>33</v>
      </c>
    </row>
    <row r="19" spans="1:7" ht="14.25">
      <c r="A19" s="14" t="s">
        <v>34</v>
      </c>
      <c r="B19" s="15"/>
      <c r="C19" s="15"/>
      <c r="D19" s="15"/>
      <c r="E19" s="15"/>
      <c r="F19" s="15"/>
      <c r="G19" s="15"/>
    </row>
    <row r="20" spans="1:7" ht="14.25">
      <c r="A20" s="14" t="s">
        <v>35</v>
      </c>
      <c r="B20" s="15"/>
      <c r="C20" s="15"/>
      <c r="D20" s="15"/>
      <c r="E20" s="15"/>
      <c r="F20" s="15"/>
      <c r="G20" s="15"/>
    </row>
    <row r="21" spans="1:7" ht="14.25">
      <c r="A21" s="14" t="s">
        <v>36</v>
      </c>
      <c r="B21" s="15"/>
      <c r="C21" s="15"/>
      <c r="D21" s="15"/>
      <c r="E21" s="15"/>
      <c r="F21" s="15"/>
      <c r="G21" s="15"/>
    </row>
    <row r="22" spans="1:7" ht="14.25">
      <c r="A22" s="14" t="s">
        <v>37</v>
      </c>
      <c r="B22" s="15"/>
      <c r="C22" s="15"/>
      <c r="D22" s="15"/>
      <c r="E22" s="15"/>
      <c r="F22" s="15"/>
      <c r="G22" s="15"/>
    </row>
    <row r="23" spans="1:7" ht="14.25">
      <c r="A23" s="10" t="s">
        <v>38</v>
      </c>
    </row>
    <row r="24" spans="1:7" ht="13.5">
      <c r="A24" s="10"/>
    </row>
    <row r="25" spans="1:7" ht="14.25">
      <c r="A25" s="11" t="s">
        <v>39</v>
      </c>
    </row>
    <row r="26" spans="1:7" ht="14.25">
      <c r="A26" s="12" t="s">
        <v>40</v>
      </c>
    </row>
    <row r="27" spans="1:7" ht="14.25">
      <c r="A27" s="13" t="s">
        <v>41</v>
      </c>
    </row>
    <row r="28" spans="1:7" ht="14.25">
      <c r="A28" s="13" t="s">
        <v>42</v>
      </c>
    </row>
    <row r="29" spans="1:7" ht="14.25">
      <c r="A29" s="13" t="s">
        <v>43</v>
      </c>
    </row>
    <row r="30" spans="1:7" ht="14.25">
      <c r="A30" s="16" t="s">
        <v>44</v>
      </c>
      <c r="B30" s="15"/>
      <c r="C30" s="15"/>
    </row>
    <row r="31" spans="1:7" ht="14.25">
      <c r="A31" s="13" t="s">
        <v>45</v>
      </c>
    </row>
    <row r="32" spans="1:7" ht="14.25">
      <c r="A32" s="13" t="s">
        <v>46</v>
      </c>
    </row>
    <row r="33" spans="1:14" ht="14.25">
      <c r="A33" s="13"/>
    </row>
    <row r="34" spans="1:14" ht="33" customHeight="1">
      <c r="A34" s="20" t="s">
        <v>47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14.65" thickBot="1">
      <c r="A35" s="18" t="s">
        <v>48</v>
      </c>
    </row>
    <row r="36" spans="1:14" ht="14.65" thickBot="1">
      <c r="A36" s="18" t="s">
        <v>53</v>
      </c>
      <c r="B36">
        <f>50+F*3</f>
        <v>68</v>
      </c>
      <c r="C36" s="22" t="s">
        <v>54</v>
      </c>
      <c r="D36">
        <f>B36/180*PI()</f>
        <v>1.186823891356144</v>
      </c>
      <c r="E36" s="22" t="s">
        <v>55</v>
      </c>
      <c r="F36" s="22" t="s">
        <v>56</v>
      </c>
      <c r="J36" s="23">
        <f xml:space="preserve"> 20*LOG10((0.5+0.5*COS(Theta))^3)</f>
        <v>-9.771094377360372</v>
      </c>
      <c r="K36" s="24" t="s">
        <v>57</v>
      </c>
    </row>
    <row r="37" spans="1:14" ht="14.25">
      <c r="A37" s="18"/>
    </row>
    <row r="38" spans="1:14" ht="32.25" customHeight="1">
      <c r="A38" s="20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14.25">
      <c r="A39" s="18" t="s">
        <v>48</v>
      </c>
    </row>
    <row r="40" spans="1:14" ht="14.65" thickBot="1">
      <c r="A40" s="18" t="s">
        <v>58</v>
      </c>
      <c r="B40">
        <f>70+F</f>
        <v>76</v>
      </c>
      <c r="C40" s="22" t="s">
        <v>61</v>
      </c>
      <c r="D40" s="22" t="s">
        <v>59</v>
      </c>
      <c r="E40">
        <f>1000+E*100</f>
        <v>1500</v>
      </c>
      <c r="G40" s="22" t="s">
        <v>60</v>
      </c>
      <c r="H40">
        <f>80+CC</f>
        <v>83</v>
      </c>
      <c r="I40" s="22" t="s">
        <v>61</v>
      </c>
      <c r="J40" s="22" t="s">
        <v>62</v>
      </c>
      <c r="K40">
        <f>100+D*10</f>
        <v>140</v>
      </c>
    </row>
    <row r="41" spans="1:14" ht="14.65" thickBot="1">
      <c r="A41" s="18" t="s">
        <v>63</v>
      </c>
      <c r="C41" s="22"/>
      <c r="D41" s="22"/>
      <c r="G41" s="22"/>
      <c r="H41" s="23" cm="1">
        <f t="array" ref="H41" xml:space="preserve"> 10*LOG10((Ncars*10^(SELcars/10)+Ntrucks*10^(SELtrucks/10))/3600)</f>
        <v>73.864481709964082</v>
      </c>
      <c r="I41" s="24" t="s">
        <v>61</v>
      </c>
      <c r="J41" s="22"/>
    </row>
    <row r="42" spans="1:14" ht="14.25">
      <c r="A42" s="18"/>
    </row>
    <row r="43" spans="1:14" ht="32.65" customHeight="1">
      <c r="A43" s="20" t="s">
        <v>50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14.65" thickBot="1">
      <c r="A44" s="18" t="s">
        <v>48</v>
      </c>
    </row>
    <row r="45" spans="1:14" ht="14.65" thickBot="1">
      <c r="A45" s="18" t="s">
        <v>64</v>
      </c>
      <c r="B45">
        <v>1.8E-3</v>
      </c>
      <c r="C45" s="22" t="s">
        <v>65</v>
      </c>
      <c r="D45" s="22" t="s">
        <v>132</v>
      </c>
      <c r="E45">
        <f>100+F*20</f>
        <v>220</v>
      </c>
      <c r="F45" s="22" t="s">
        <v>66</v>
      </c>
      <c r="G45" s="22" t="s">
        <v>133</v>
      </c>
      <c r="J45" s="23">
        <f>10*LOG10(EXP(-Beta*dist))</f>
        <v>-1.7198061483368767</v>
      </c>
      <c r="K45" s="24" t="s">
        <v>61</v>
      </c>
    </row>
    <row r="46" spans="1:14">
      <c r="A46" s="19"/>
    </row>
    <row r="47" spans="1:14" ht="34.15" customHeight="1">
      <c r="A47" s="20" t="s">
        <v>51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14.25">
      <c r="A48" s="18" t="s">
        <v>48</v>
      </c>
    </row>
    <row r="49" spans="1:14" ht="14.25">
      <c r="A49" s="18"/>
      <c r="B49" s="31" t="s">
        <v>117</v>
      </c>
      <c r="C49" s="31" t="s">
        <v>118</v>
      </c>
      <c r="D49" s="31" t="s">
        <v>119</v>
      </c>
      <c r="E49" s="29" t="s">
        <v>120</v>
      </c>
      <c r="F49" s="29" t="s">
        <v>121</v>
      </c>
    </row>
    <row r="50" spans="1:14" ht="14.65" thickBot="1">
      <c r="A50" s="18" t="s">
        <v>114</v>
      </c>
      <c r="B50" s="17">
        <v>0</v>
      </c>
      <c r="C50" s="17">
        <v>0</v>
      </c>
      <c r="D50" s="17">
        <v>0</v>
      </c>
      <c r="E50">
        <v>0</v>
      </c>
      <c r="F50">
        <v>0</v>
      </c>
    </row>
    <row r="51" spans="1:14" ht="13.5" thickBot="1">
      <c r="A51" s="28" t="s">
        <v>115</v>
      </c>
      <c r="B51" s="17">
        <f>CC</f>
        <v>3</v>
      </c>
      <c r="C51" s="17">
        <f>D</f>
        <v>4</v>
      </c>
      <c r="D51" s="17">
        <v>1.2</v>
      </c>
      <c r="E51">
        <f>SQRT((B51-B$50)^2+(C51-C$50)^2+(D51-D$50)^2)</f>
        <v>5.1419840528729761</v>
      </c>
      <c r="F51">
        <f>E51/340</f>
        <v>1.512348250844993E-2</v>
      </c>
      <c r="G51" s="30" t="s">
        <v>122</v>
      </c>
      <c r="H51" s="23">
        <f>(F51-F52)*1000</f>
        <v>-8.2676553159425197</v>
      </c>
      <c r="I51" s="24" t="s">
        <v>123</v>
      </c>
    </row>
    <row r="52" spans="1:14">
      <c r="A52" s="28" t="s">
        <v>116</v>
      </c>
      <c r="B52" s="17">
        <f>E</f>
        <v>5</v>
      </c>
      <c r="C52" s="17">
        <f>F</f>
        <v>6</v>
      </c>
      <c r="D52" s="17">
        <v>1.5</v>
      </c>
      <c r="E52">
        <f>SQRT((B52-B$50)^2+(C52-C$50)^2+(D52-D$50)^2)</f>
        <v>7.952986860293433</v>
      </c>
      <c r="F52">
        <f>E52/340</f>
        <v>2.3391137824392449E-2</v>
      </c>
    </row>
    <row r="53" spans="1:14">
      <c r="A53" s="28"/>
    </row>
    <row r="54" spans="1:14" ht="34.5" customHeight="1">
      <c r="A54" s="20" t="s">
        <v>52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4.25">
      <c r="A55" s="18" t="s">
        <v>48</v>
      </c>
    </row>
    <row r="56" spans="1:14" ht="14.25">
      <c r="A56" s="18"/>
      <c r="B56" s="31" t="s">
        <v>117</v>
      </c>
      <c r="C56" s="31" t="s">
        <v>118</v>
      </c>
      <c r="D56" s="31" t="s">
        <v>119</v>
      </c>
      <c r="E56" s="29" t="s">
        <v>120</v>
      </c>
      <c r="F56" s="29" t="s">
        <v>124</v>
      </c>
    </row>
    <row r="57" spans="1:14" ht="14.65" thickBot="1">
      <c r="A57" s="18" t="s">
        <v>114</v>
      </c>
      <c r="B57" s="17">
        <v>0</v>
      </c>
      <c r="C57" s="17">
        <v>0</v>
      </c>
      <c r="D57" s="17">
        <v>0</v>
      </c>
      <c r="E57">
        <v>0</v>
      </c>
    </row>
    <row r="58" spans="1:14" ht="13.5" thickBot="1">
      <c r="A58" s="28" t="s">
        <v>115</v>
      </c>
      <c r="B58" s="17">
        <f>CC</f>
        <v>3</v>
      </c>
      <c r="C58" s="17">
        <f>D</f>
        <v>4</v>
      </c>
      <c r="D58" s="17">
        <v>1.2</v>
      </c>
      <c r="E58">
        <f>SQRT((B58-B$50)^2+(C58-C$50)^2+(D58-D$50)^2)</f>
        <v>5.1419840528729761</v>
      </c>
      <c r="F58">
        <f>100-11-20*LOG10(E58)</f>
        <v>74.777385491863981</v>
      </c>
      <c r="G58" s="30" t="s">
        <v>125</v>
      </c>
      <c r="H58" s="23">
        <f>F58-F59</f>
        <v>3.7879907903425334</v>
      </c>
      <c r="I58" s="24" t="s">
        <v>57</v>
      </c>
    </row>
    <row r="59" spans="1:14">
      <c r="A59" s="28" t="s">
        <v>116</v>
      </c>
      <c r="B59" s="17">
        <f>E</f>
        <v>5</v>
      </c>
      <c r="C59" s="17">
        <f>F</f>
        <v>6</v>
      </c>
      <c r="D59" s="17">
        <v>1.5</v>
      </c>
      <c r="E59">
        <f>SQRT((B59-B$50)^2+(C59-C$50)^2+(D59-D$50)^2)</f>
        <v>7.952986860293433</v>
      </c>
      <c r="F59">
        <f>100-11-20*LOG10(E59)</f>
        <v>70.989394701521448</v>
      </c>
    </row>
  </sheetData>
  <mergeCells count="5">
    <mergeCell ref="A34:N34"/>
    <mergeCell ref="A38:N38"/>
    <mergeCell ref="A43:N43"/>
    <mergeCell ref="A47:N47"/>
    <mergeCell ref="A54:N5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54" r:id="rId3">
          <objectPr defaultSize="0" autoPict="0" r:id="rId4">
            <anchor moveWithCells="1">
              <from>
                <xdr:col>11</xdr:col>
                <xdr:colOff>290513</xdr:colOff>
                <xdr:row>42</xdr:row>
                <xdr:rowOff>295275</xdr:rowOff>
              </from>
              <to>
                <xdr:col>14</xdr:col>
                <xdr:colOff>123825</xdr:colOff>
                <xdr:row>45</xdr:row>
                <xdr:rowOff>4763</xdr:rowOff>
              </to>
            </anchor>
          </objectPr>
        </oleObject>
      </mc:Choice>
      <mc:Fallback>
        <oleObject shapeId="2054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E2E0-2269-475E-BF87-7F0F803578A7}">
  <sheetPr>
    <outlinePr summaryBelow="0" summaryRight="0"/>
  </sheetPr>
  <dimension ref="A1:AV1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2.59765625" defaultRowHeight="15.75" customHeight="1"/>
  <cols>
    <col min="1" max="1" width="3.6640625" style="25" customWidth="1"/>
    <col min="2" max="2" width="18.86328125" style="25" customWidth="1"/>
    <col min="3" max="3" width="31.59765625" style="25" customWidth="1"/>
    <col min="4" max="4" width="17.9296875" style="25" customWidth="1"/>
    <col min="5" max="5" width="8.6640625" style="25" customWidth="1"/>
    <col min="6" max="11" width="3.53125" style="25" customWidth="1"/>
    <col min="12" max="12" width="18.86328125" style="25" customWidth="1"/>
    <col min="13" max="18" width="3.46484375" style="25" customWidth="1"/>
    <col min="19" max="19" width="18.86328125" style="25" customWidth="1"/>
    <col min="20" max="25" width="3.46484375" style="25" customWidth="1"/>
    <col min="26" max="26" width="18.86328125" style="25" customWidth="1"/>
    <col min="27" max="27" width="7" style="25" customWidth="1"/>
    <col min="28" max="28" width="21.59765625" style="25" customWidth="1"/>
    <col min="29" max="29" width="8.6640625" style="25" customWidth="1"/>
    <col min="30" max="30" width="8.06640625" style="25" customWidth="1"/>
    <col min="31" max="31" width="7.53125" style="25" customWidth="1"/>
    <col min="32" max="32" width="28" style="25" customWidth="1"/>
    <col min="33" max="35" width="8" style="25" customWidth="1"/>
    <col min="36" max="36" width="18.86328125" style="25" customWidth="1"/>
    <col min="37" max="37" width="9.265625" style="25" customWidth="1"/>
    <col min="38" max="39" width="7.59765625" style="25" customWidth="1"/>
    <col min="40" max="40" width="27.19921875" style="25" customWidth="1"/>
    <col min="41" max="41" width="9.46484375" style="25" customWidth="1"/>
    <col min="42" max="42" width="7.53125" style="25" customWidth="1"/>
    <col min="43" max="43" width="7.73046875" style="25" customWidth="1"/>
    <col min="44" max="44" width="18.86328125" style="25" customWidth="1"/>
    <col min="45" max="45" width="9.73046875" style="25" customWidth="1"/>
    <col min="46" max="46" width="7.265625" style="25" customWidth="1"/>
    <col min="47" max="47" width="7.53125" style="25" customWidth="1"/>
    <col min="48" max="48" width="10.19921875" style="25" customWidth="1"/>
    <col min="49" max="50" width="18.86328125" style="25" customWidth="1"/>
    <col min="51" max="16384" width="12.59765625" style="25"/>
  </cols>
  <sheetData>
    <row r="1" spans="1:48" ht="18.75" customHeight="1">
      <c r="A1" s="40" t="s">
        <v>113</v>
      </c>
      <c r="B1" s="41" t="s">
        <v>0</v>
      </c>
      <c r="C1" s="42" t="s">
        <v>1</v>
      </c>
      <c r="D1" s="42" t="s">
        <v>2</v>
      </c>
      <c r="E1" s="41" t="s">
        <v>3</v>
      </c>
      <c r="F1" s="43" t="s">
        <v>17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4</v>
      </c>
      <c r="M1" s="41">
        <v>1</v>
      </c>
      <c r="N1" s="41">
        <v>-1</v>
      </c>
      <c r="O1" s="41">
        <v>1</v>
      </c>
      <c r="P1" s="41">
        <v>-1</v>
      </c>
      <c r="Q1" s="41">
        <v>1</v>
      </c>
      <c r="R1" s="41">
        <v>-1</v>
      </c>
      <c r="S1" s="42" t="s">
        <v>112</v>
      </c>
      <c r="T1" s="41">
        <v>-1</v>
      </c>
      <c r="U1" s="41">
        <v>1</v>
      </c>
      <c r="V1" s="41">
        <v>1</v>
      </c>
      <c r="W1" s="41">
        <v>1</v>
      </c>
      <c r="X1" s="41">
        <v>1</v>
      </c>
      <c r="Y1" s="41">
        <v>-1</v>
      </c>
      <c r="Z1" s="42" t="s">
        <v>39</v>
      </c>
      <c r="AA1" s="41" t="s">
        <v>126</v>
      </c>
      <c r="AB1" s="42" t="s">
        <v>111</v>
      </c>
      <c r="AC1" s="44" t="s">
        <v>130</v>
      </c>
      <c r="AD1" s="45" t="s">
        <v>131</v>
      </c>
      <c r="AE1" s="46" t="s">
        <v>126</v>
      </c>
      <c r="AF1" s="42" t="s">
        <v>110</v>
      </c>
      <c r="AG1" s="44" t="s">
        <v>130</v>
      </c>
      <c r="AH1" s="45" t="s">
        <v>131</v>
      </c>
      <c r="AI1" s="46" t="s">
        <v>126</v>
      </c>
      <c r="AJ1" s="42" t="s">
        <v>109</v>
      </c>
      <c r="AK1" s="44" t="s">
        <v>130</v>
      </c>
      <c r="AL1" s="45" t="s">
        <v>131</v>
      </c>
      <c r="AM1" s="46" t="s">
        <v>126</v>
      </c>
      <c r="AN1" s="42" t="s">
        <v>108</v>
      </c>
      <c r="AO1" s="44" t="s">
        <v>130</v>
      </c>
      <c r="AP1" s="45" t="s">
        <v>131</v>
      </c>
      <c r="AQ1" s="46" t="s">
        <v>126</v>
      </c>
      <c r="AR1" s="42" t="s">
        <v>52</v>
      </c>
      <c r="AS1" s="44" t="s">
        <v>130</v>
      </c>
      <c r="AT1" s="45" t="s">
        <v>131</v>
      </c>
      <c r="AU1" s="46" t="s">
        <v>126</v>
      </c>
      <c r="AV1" s="47" t="s">
        <v>134</v>
      </c>
    </row>
    <row r="2" spans="1:48" ht="18" customHeight="1">
      <c r="A2" s="48">
        <v>1</v>
      </c>
      <c r="B2" s="49">
        <v>44914.438066932868</v>
      </c>
      <c r="C2" s="50" t="s">
        <v>16</v>
      </c>
      <c r="D2" s="50" t="s">
        <v>107</v>
      </c>
      <c r="E2" s="51">
        <v>342593</v>
      </c>
      <c r="F2" s="27">
        <f t="shared" ref="F2:F9" si="0">INT(E2/100000)</f>
        <v>3</v>
      </c>
      <c r="G2" s="27">
        <f t="shared" ref="G2:G9" si="1">INT(($E2-100000*F2)/10000)</f>
        <v>4</v>
      </c>
      <c r="H2" s="27">
        <f t="shared" ref="H2:H9" si="2">INT(($E2-100000*F2-10000*G2)/1000)</f>
        <v>2</v>
      </c>
      <c r="I2" s="27">
        <f t="shared" ref="I2:I9" si="3">INT(($E2-100000*$F2-10000*$G2-1000*$H2)/100)</f>
        <v>5</v>
      </c>
      <c r="J2" s="27">
        <f t="shared" ref="J2:J9" si="4">INT(($E2-100000*$F2-10000*$G2-1000*$H2-100*$I2)/10)</f>
        <v>9</v>
      </c>
      <c r="K2" s="27">
        <f t="shared" ref="K2:K9" si="5">INT(($E2-100000*$F2-10000*$G2-1000*$H2-100*$I2-10*$J2))</f>
        <v>3</v>
      </c>
      <c r="L2" s="50" t="s">
        <v>79</v>
      </c>
      <c r="M2" s="32">
        <f>IF(ISERROR(FIND("linear, time invariant system",L2,1)),0,M$1)</f>
        <v>1</v>
      </c>
      <c r="N2" s="32">
        <f>IF(ISERROR(FIND("not-linear and/or time-variant systems",L2,1)),0,N$1)</f>
        <v>0</v>
      </c>
      <c r="O2" s="32">
        <f>IF(ISERROR(FIND("only with PCM data",L2,1)),0,O$1)</f>
        <v>0</v>
      </c>
      <c r="P2" s="32">
        <f>IF(ISERROR(FIND("also with PDM, bitstream data",L2,1)),0,P$1)</f>
        <v>-1</v>
      </c>
      <c r="Q2" s="32">
        <f>IF(ISERROR(FIND("FIR filters can control independently",L2,1)),0,Q$1)</f>
        <v>1</v>
      </c>
      <c r="R2" s="32">
        <f>IF(ISERROR(FIND("IIR filters can control independently",L2,1)),0,R$1)</f>
        <v>0</v>
      </c>
      <c r="S2" s="50" t="s">
        <v>106</v>
      </c>
      <c r="T2" s="32">
        <f>IF(ISERROR(FIND("Dolby Digital",S2,1)),0,T$1)</f>
        <v>-1</v>
      </c>
      <c r="U2" s="32">
        <f>IF(ISERROR(FIND("Binaural over headphones",S2,1)),0,U$1)</f>
        <v>0</v>
      </c>
      <c r="V2" s="32">
        <f>IF(ISERROR(FIND("Binaural over a loudspeaker pair",S2,1)),0,V$1)</f>
        <v>0</v>
      </c>
      <c r="W2" s="32">
        <f>IF(ISERROR(FIND("Dolby Atmos",S2,1)),0,W$1)</f>
        <v>0</v>
      </c>
      <c r="X2" s="32">
        <f>IF(ISERROR(FIND("Ambisonics",S2,1)),0,X$1)</f>
        <v>0</v>
      </c>
      <c r="Y2" s="32">
        <f>IF(ISERROR(FIND("Wave Field Synthesis",S2,1)),0,Y$1)</f>
        <v>-1</v>
      </c>
      <c r="Z2" s="50" t="s">
        <v>70</v>
      </c>
      <c r="AA2" s="32">
        <v>1</v>
      </c>
      <c r="AB2" s="50" t="s">
        <v>105</v>
      </c>
      <c r="AC2" s="37">
        <f xml:space="preserve"> 20*LOG10((0.5+0.5*COS((50+K2*3)/180*PI()))^3)</f>
        <v>-7.2363868976364127</v>
      </c>
      <c r="AD2" s="38" t="s">
        <v>57</v>
      </c>
      <c r="AE2" s="32">
        <v>-1</v>
      </c>
      <c r="AF2" s="50" t="s">
        <v>104</v>
      </c>
      <c r="AG2" s="37">
        <f xml:space="preserve"> 10*LOG10(((1000+J2*100)*10^((70+K2)/10)+(100+I2*10)*10^((80+H2)/10))/3600)</f>
        <v>72.338656756859891</v>
      </c>
      <c r="AH2" s="38" t="s">
        <v>61</v>
      </c>
      <c r="AI2" s="32">
        <v>-1</v>
      </c>
      <c r="AJ2" s="50" t="s">
        <v>103</v>
      </c>
      <c r="AK2" s="37">
        <f>10*LOG10(EXP(-Beta*(100+K2*20)))</f>
        <v>-1.2507681078813655</v>
      </c>
      <c r="AL2" s="38" t="s">
        <v>61</v>
      </c>
      <c r="AM2" s="32">
        <v>-1</v>
      </c>
      <c r="AN2" s="68" t="s">
        <v>102</v>
      </c>
      <c r="AO2" s="39">
        <f>(SQRT(H2^2+I2^2+1.2^2)-SQRT(J2^2+K2^2+1.5^2))*1000/340</f>
        <v>-12.021884313222893</v>
      </c>
      <c r="AP2" s="38" t="s">
        <v>123</v>
      </c>
      <c r="AQ2" s="32">
        <v>1</v>
      </c>
      <c r="AR2" s="50" t="s">
        <v>101</v>
      </c>
      <c r="AS2" s="37">
        <f>-20*LOG10(SQRT(H2^2+I2^2+1.2^2)/SQRT(J2^2+K2^2+1.5^2))</f>
        <v>4.8152172673256279</v>
      </c>
      <c r="AT2" s="38" t="s">
        <v>57</v>
      </c>
      <c r="AU2" s="32">
        <v>1</v>
      </c>
      <c r="AV2" s="52">
        <f>SUM(M2:R2)+SUM(T2:Y2)+AA2+AE2+AI2+AM2+AQ2+AU2</f>
        <v>-1</v>
      </c>
    </row>
    <row r="3" spans="1:48" ht="18" customHeight="1">
      <c r="A3" s="48">
        <v>2</v>
      </c>
      <c r="B3" s="49">
        <v>44914.441859282408</v>
      </c>
      <c r="C3" s="50" t="s">
        <v>11</v>
      </c>
      <c r="D3" s="50" t="s">
        <v>100</v>
      </c>
      <c r="E3" s="51">
        <v>350971</v>
      </c>
      <c r="F3" s="27">
        <f t="shared" si="0"/>
        <v>3</v>
      </c>
      <c r="G3" s="27">
        <f t="shared" si="1"/>
        <v>5</v>
      </c>
      <c r="H3" s="27">
        <f t="shared" si="2"/>
        <v>0</v>
      </c>
      <c r="I3" s="27">
        <f t="shared" si="3"/>
        <v>9</v>
      </c>
      <c r="J3" s="27">
        <f t="shared" si="4"/>
        <v>7</v>
      </c>
      <c r="K3" s="27">
        <f t="shared" si="5"/>
        <v>1</v>
      </c>
      <c r="L3" s="50" t="s">
        <v>79</v>
      </c>
      <c r="M3" s="32">
        <f t="shared" ref="M3:M9" si="6">IF(ISERROR(FIND("linear, time invariant system",L3,1)),0,M$1)</f>
        <v>1</v>
      </c>
      <c r="N3" s="32">
        <f t="shared" ref="N3:N9" si="7">IF(ISERROR(FIND("not-linear and/or time-variant systems",L3,1)),0,N$1)</f>
        <v>0</v>
      </c>
      <c r="O3" s="32">
        <f t="shared" ref="O3:O9" si="8">IF(ISERROR(FIND("only with PCM data",L3,1)),0,O$1)</f>
        <v>0</v>
      </c>
      <c r="P3" s="32">
        <f t="shared" ref="P3:P9" si="9">IF(ISERROR(FIND("also with PDM, bitstream data",L3,1)),0,P$1)</f>
        <v>-1</v>
      </c>
      <c r="Q3" s="32">
        <f t="shared" ref="Q3:Q9" si="10">IF(ISERROR(FIND("FIR filters can control independently",L3,1)),0,Q$1)</f>
        <v>1</v>
      </c>
      <c r="R3" s="32">
        <f t="shared" ref="R3:R9" si="11">IF(ISERROR(FIND("IIR filters can control independently",L3,1)),0,R$1)</f>
        <v>0</v>
      </c>
      <c r="S3" s="50" t="s">
        <v>99</v>
      </c>
      <c r="T3" s="32">
        <f t="shared" ref="T3:T9" si="12">IF(ISERROR(FIND("Dolby Digital",S3,1)),0,T$1)</f>
        <v>0</v>
      </c>
      <c r="U3" s="32">
        <f t="shared" ref="U3:U9" si="13">IF(ISERROR(FIND("Binaural over headphones",S3,1)),0,U$1)</f>
        <v>0</v>
      </c>
      <c r="V3" s="32">
        <f t="shared" ref="V3:V9" si="14">IF(ISERROR(FIND("Binaural over a loudspeaker pair",S3,1)),0,V$1)</f>
        <v>1</v>
      </c>
      <c r="W3" s="32">
        <f t="shared" ref="W3:W9" si="15">IF(ISERROR(FIND("Dolby Atmos",S3,1)),0,W$1)</f>
        <v>1</v>
      </c>
      <c r="X3" s="32">
        <f t="shared" ref="X3:X9" si="16">IF(ISERROR(FIND("Ambisonics",S3,1)),0,X$1)</f>
        <v>1</v>
      </c>
      <c r="Y3" s="32">
        <f t="shared" ref="Y3:Y9" si="17">IF(ISERROR(FIND("Wave Field Synthesis",S3,1)),0,Y$1)</f>
        <v>-1</v>
      </c>
      <c r="Z3" s="50" t="s">
        <v>70</v>
      </c>
      <c r="AA3" s="32">
        <v>1</v>
      </c>
      <c r="AB3" s="53">
        <v>-5.7850000000000001</v>
      </c>
      <c r="AC3" s="37">
        <f t="shared" ref="AC3:AC9" si="18" xml:space="preserve"> 20*LOG10((0.5+0.5*COS((50+K3*3)/180*PI()))^3)</f>
        <v>-5.7850579886033247</v>
      </c>
      <c r="AD3" s="38" t="s">
        <v>57</v>
      </c>
      <c r="AE3" s="32">
        <v>1</v>
      </c>
      <c r="AF3" s="50" t="s">
        <v>98</v>
      </c>
      <c r="AG3" s="37">
        <f t="shared" ref="AG3:AG9" si="19" xml:space="preserve"> 10*LOG10(((1000+J3*100)*10^((70+K3)/10)+(100+I3*10)*10^((80+H3)/10))/3600)</f>
        <v>70.500974827130392</v>
      </c>
      <c r="AH3" s="38" t="s">
        <v>61</v>
      </c>
      <c r="AI3" s="32">
        <v>1</v>
      </c>
      <c r="AJ3" s="54"/>
      <c r="AK3" s="37">
        <f>10*LOG10(EXP(-Beta*(100+K3*20)))</f>
        <v>-0.93807608091102401</v>
      </c>
      <c r="AL3" s="38" t="s">
        <v>61</v>
      </c>
      <c r="AM3" s="32">
        <v>0</v>
      </c>
      <c r="AN3" s="50" t="s">
        <v>97</v>
      </c>
      <c r="AO3" s="39">
        <f t="shared" ref="AO3:AO9" si="20">(SQRT(H3^2+I3^2+1.2^2)-SQRT(J3^2+K3^2+1.5^2))*1000/340</f>
        <v>5.4447983025072171</v>
      </c>
      <c r="AP3" s="38" t="s">
        <v>123</v>
      </c>
      <c r="AQ3" s="32">
        <v>1</v>
      </c>
      <c r="AR3" s="50" t="s">
        <v>96</v>
      </c>
      <c r="AS3" s="37">
        <f t="shared" ref="AS3:AS9" si="21">-20*LOG10(SQRT(H3^2+I3^2+1.2^2)/SQRT(J3^2+K3^2+1.5^2))</f>
        <v>-1.9805168832408366</v>
      </c>
      <c r="AT3" s="38" t="s">
        <v>57</v>
      </c>
      <c r="AU3" s="32">
        <v>1</v>
      </c>
      <c r="AV3" s="52">
        <f t="shared" ref="AV3:AV9" si="22">SUM(M3:R3)+SUM(T3:Y3)+AA3+AE3+AI3+AM3+AQ3+AU3</f>
        <v>8</v>
      </c>
    </row>
    <row r="4" spans="1:48" ht="18" customHeight="1">
      <c r="A4" s="48">
        <v>3</v>
      </c>
      <c r="B4" s="49">
        <v>44914.445151527776</v>
      </c>
      <c r="C4" s="50" t="s">
        <v>8</v>
      </c>
      <c r="D4" s="50" t="s">
        <v>9</v>
      </c>
      <c r="E4" s="51">
        <v>333808</v>
      </c>
      <c r="F4" s="27">
        <f t="shared" si="0"/>
        <v>3</v>
      </c>
      <c r="G4" s="27">
        <f t="shared" si="1"/>
        <v>3</v>
      </c>
      <c r="H4" s="27">
        <f t="shared" si="2"/>
        <v>3</v>
      </c>
      <c r="I4" s="27">
        <f t="shared" si="3"/>
        <v>8</v>
      </c>
      <c r="J4" s="27">
        <f t="shared" si="4"/>
        <v>0</v>
      </c>
      <c r="K4" s="27">
        <f t="shared" si="5"/>
        <v>8</v>
      </c>
      <c r="L4" s="50" t="s">
        <v>72</v>
      </c>
      <c r="M4" s="32">
        <f t="shared" si="6"/>
        <v>1</v>
      </c>
      <c r="N4" s="32">
        <f t="shared" si="7"/>
        <v>-1</v>
      </c>
      <c r="O4" s="32">
        <f t="shared" si="8"/>
        <v>0</v>
      </c>
      <c r="P4" s="32">
        <f t="shared" si="9"/>
        <v>-1</v>
      </c>
      <c r="Q4" s="32">
        <f t="shared" si="10"/>
        <v>1</v>
      </c>
      <c r="R4" s="32">
        <f t="shared" si="11"/>
        <v>0</v>
      </c>
      <c r="S4" s="50" t="s">
        <v>71</v>
      </c>
      <c r="T4" s="32">
        <f t="shared" si="12"/>
        <v>0</v>
      </c>
      <c r="U4" s="32">
        <f t="shared" si="13"/>
        <v>1</v>
      </c>
      <c r="V4" s="32">
        <f t="shared" si="14"/>
        <v>1</v>
      </c>
      <c r="W4" s="32">
        <f t="shared" si="15"/>
        <v>0</v>
      </c>
      <c r="X4" s="32">
        <f t="shared" si="16"/>
        <v>1</v>
      </c>
      <c r="Y4" s="32">
        <f t="shared" si="17"/>
        <v>-1</v>
      </c>
      <c r="Z4" s="50" t="s">
        <v>70</v>
      </c>
      <c r="AA4" s="32">
        <v>1</v>
      </c>
      <c r="AB4" s="54"/>
      <c r="AC4" s="37">
        <f t="shared" si="18"/>
        <v>-11.718166020558003</v>
      </c>
      <c r="AD4" s="38" t="s">
        <v>57</v>
      </c>
      <c r="AE4" s="32">
        <v>0</v>
      </c>
      <c r="AF4" s="50" t="s">
        <v>95</v>
      </c>
      <c r="AG4" s="37">
        <f t="shared" si="19"/>
        <v>74.393785604396115</v>
      </c>
      <c r="AH4" s="38" t="s">
        <v>61</v>
      </c>
      <c r="AI4" s="32">
        <v>1</v>
      </c>
      <c r="AJ4" s="54"/>
      <c r="AK4" s="37">
        <f>10*LOG10(EXP(-Beta*(100+K4*20)))</f>
        <v>-2.0324981753072189</v>
      </c>
      <c r="AL4" s="38" t="s">
        <v>61</v>
      </c>
      <c r="AM4" s="32">
        <v>0</v>
      </c>
      <c r="AN4" s="50" t="s">
        <v>94</v>
      </c>
      <c r="AO4" s="39">
        <f t="shared" si="20"/>
        <v>1.4366221941157147</v>
      </c>
      <c r="AP4" s="38" t="s">
        <v>123</v>
      </c>
      <c r="AQ4" s="32">
        <v>1</v>
      </c>
      <c r="AR4" s="50" t="s">
        <v>93</v>
      </c>
      <c r="AS4" s="37">
        <f t="shared" si="21"/>
        <v>-0.50620481849883903</v>
      </c>
      <c r="AT4" s="38" t="s">
        <v>57</v>
      </c>
      <c r="AU4" s="32">
        <v>-1</v>
      </c>
      <c r="AV4" s="52">
        <f t="shared" si="22"/>
        <v>4</v>
      </c>
    </row>
    <row r="5" spans="1:48" ht="18" customHeight="1">
      <c r="A5" s="48">
        <v>4</v>
      </c>
      <c r="B5" s="49">
        <v>44914.445530289348</v>
      </c>
      <c r="C5" s="50" t="s">
        <v>5</v>
      </c>
      <c r="D5" s="50" t="s">
        <v>6</v>
      </c>
      <c r="E5" s="55" t="s">
        <v>7</v>
      </c>
      <c r="F5" s="27">
        <f t="shared" si="0"/>
        <v>0</v>
      </c>
      <c r="G5" s="27">
        <f t="shared" si="1"/>
        <v>8</v>
      </c>
      <c r="H5" s="27">
        <f t="shared" si="2"/>
        <v>0</v>
      </c>
      <c r="I5" s="27">
        <f t="shared" si="3"/>
        <v>5</v>
      </c>
      <c r="J5" s="27">
        <f t="shared" si="4"/>
        <v>0</v>
      </c>
      <c r="K5" s="27">
        <f t="shared" si="5"/>
        <v>0</v>
      </c>
      <c r="L5" s="50" t="s">
        <v>79</v>
      </c>
      <c r="M5" s="32">
        <f t="shared" si="6"/>
        <v>1</v>
      </c>
      <c r="N5" s="32">
        <f t="shared" si="7"/>
        <v>0</v>
      </c>
      <c r="O5" s="32">
        <f t="shared" si="8"/>
        <v>0</v>
      </c>
      <c r="P5" s="32">
        <f t="shared" si="9"/>
        <v>-1</v>
      </c>
      <c r="Q5" s="32">
        <f t="shared" si="10"/>
        <v>1</v>
      </c>
      <c r="R5" s="32">
        <f t="shared" si="11"/>
        <v>0</v>
      </c>
      <c r="S5" s="50" t="s">
        <v>78</v>
      </c>
      <c r="T5" s="32">
        <f t="shared" si="12"/>
        <v>0</v>
      </c>
      <c r="U5" s="32">
        <f t="shared" si="13"/>
        <v>0</v>
      </c>
      <c r="V5" s="32">
        <f t="shared" si="14"/>
        <v>1</v>
      </c>
      <c r="W5" s="32">
        <f t="shared" si="15"/>
        <v>0</v>
      </c>
      <c r="X5" s="32">
        <f t="shared" si="16"/>
        <v>1</v>
      </c>
      <c r="Y5" s="32">
        <f t="shared" si="17"/>
        <v>-1</v>
      </c>
      <c r="Z5" s="50" t="s">
        <v>70</v>
      </c>
      <c r="AA5" s="32">
        <v>1</v>
      </c>
      <c r="AB5" s="56" t="s">
        <v>92</v>
      </c>
      <c r="AC5" s="37">
        <f t="shared" si="18"/>
        <v>-5.1269146216321797</v>
      </c>
      <c r="AD5" s="38" t="s">
        <v>57</v>
      </c>
      <c r="AE5" s="32">
        <v>-1</v>
      </c>
      <c r="AF5" s="56" t="s">
        <v>91</v>
      </c>
      <c r="AG5" s="37">
        <f t="shared" si="19"/>
        <v>68.416375079047512</v>
      </c>
      <c r="AH5" s="38" t="s">
        <v>61</v>
      </c>
      <c r="AI5" s="32">
        <v>-1</v>
      </c>
      <c r="AJ5" s="54"/>
      <c r="AK5" s="37">
        <f>10*LOG10(EXP(-Beta*(100+K5*20)))</f>
        <v>-0.78173006742585338</v>
      </c>
      <c r="AL5" s="38" t="s">
        <v>61</v>
      </c>
      <c r="AM5" s="32">
        <v>0</v>
      </c>
      <c r="AN5" s="56" t="s">
        <v>90</v>
      </c>
      <c r="AO5" s="39">
        <f t="shared" si="20"/>
        <v>10.711717802567577</v>
      </c>
      <c r="AP5" s="38" t="s">
        <v>123</v>
      </c>
      <c r="AQ5" s="32">
        <v>1</v>
      </c>
      <c r="AR5" s="56" t="s">
        <v>89</v>
      </c>
      <c r="AS5" s="37">
        <f t="shared" si="21"/>
        <v>-10.700789327022402</v>
      </c>
      <c r="AT5" s="38" t="s">
        <v>57</v>
      </c>
      <c r="AU5" s="32">
        <v>1</v>
      </c>
      <c r="AV5" s="52">
        <f t="shared" si="22"/>
        <v>3</v>
      </c>
    </row>
    <row r="6" spans="1:48" ht="18" customHeight="1">
      <c r="A6" s="48">
        <v>5</v>
      </c>
      <c r="B6" s="49">
        <v>44914.445564629626</v>
      </c>
      <c r="C6" s="50" t="s">
        <v>13</v>
      </c>
      <c r="D6" s="50" t="s">
        <v>14</v>
      </c>
      <c r="E6" s="51">
        <v>336706</v>
      </c>
      <c r="F6" s="27">
        <f t="shared" si="0"/>
        <v>3</v>
      </c>
      <c r="G6" s="27">
        <f t="shared" si="1"/>
        <v>3</v>
      </c>
      <c r="H6" s="27">
        <f t="shared" si="2"/>
        <v>6</v>
      </c>
      <c r="I6" s="27">
        <f t="shared" si="3"/>
        <v>7</v>
      </c>
      <c r="J6" s="27">
        <f t="shared" si="4"/>
        <v>0</v>
      </c>
      <c r="K6" s="27">
        <f t="shared" si="5"/>
        <v>6</v>
      </c>
      <c r="L6" s="50" t="s">
        <v>72</v>
      </c>
      <c r="M6" s="32">
        <f t="shared" si="6"/>
        <v>1</v>
      </c>
      <c r="N6" s="32">
        <f t="shared" si="7"/>
        <v>-1</v>
      </c>
      <c r="O6" s="32">
        <f t="shared" si="8"/>
        <v>0</v>
      </c>
      <c r="P6" s="32">
        <f t="shared" si="9"/>
        <v>-1</v>
      </c>
      <c r="Q6" s="32">
        <f t="shared" si="10"/>
        <v>1</v>
      </c>
      <c r="R6" s="32">
        <f t="shared" si="11"/>
        <v>0</v>
      </c>
      <c r="S6" s="50" t="s">
        <v>71</v>
      </c>
      <c r="T6" s="32">
        <f t="shared" si="12"/>
        <v>0</v>
      </c>
      <c r="U6" s="32">
        <f t="shared" si="13"/>
        <v>1</v>
      </c>
      <c r="V6" s="32">
        <f t="shared" si="14"/>
        <v>1</v>
      </c>
      <c r="W6" s="32">
        <f t="shared" si="15"/>
        <v>0</v>
      </c>
      <c r="X6" s="32">
        <f t="shared" si="16"/>
        <v>1</v>
      </c>
      <c r="Y6" s="32">
        <f t="shared" si="17"/>
        <v>-1</v>
      </c>
      <c r="Z6" s="50" t="s">
        <v>70</v>
      </c>
      <c r="AA6" s="32">
        <v>1</v>
      </c>
      <c r="AB6" s="54"/>
      <c r="AC6" s="37">
        <f t="shared" si="18"/>
        <v>-9.771094377360372</v>
      </c>
      <c r="AD6" s="38" t="s">
        <v>57</v>
      </c>
      <c r="AE6" s="32">
        <v>0</v>
      </c>
      <c r="AF6" s="50" t="s">
        <v>88</v>
      </c>
      <c r="AG6" s="37">
        <f t="shared" si="19"/>
        <v>74.750612633917001</v>
      </c>
      <c r="AH6" s="38" t="s">
        <v>61</v>
      </c>
      <c r="AI6" s="32">
        <v>1</v>
      </c>
      <c r="AJ6" s="54"/>
      <c r="AK6" s="37">
        <f>10*LOG10(EXP(-Beta*(100+K6*20)))</f>
        <v>-1.7198061483368767</v>
      </c>
      <c r="AL6" s="38" t="s">
        <v>61</v>
      </c>
      <c r="AM6" s="32">
        <v>0</v>
      </c>
      <c r="AN6" s="50" t="s">
        <v>87</v>
      </c>
      <c r="AO6" s="39">
        <f t="shared" si="20"/>
        <v>9.1548617673796375</v>
      </c>
      <c r="AP6" s="38" t="s">
        <v>123</v>
      </c>
      <c r="AQ6" s="32">
        <v>1</v>
      </c>
      <c r="AR6" s="50" t="s">
        <v>86</v>
      </c>
      <c r="AS6" s="37">
        <f t="shared" si="21"/>
        <v>-3.5408331872156733</v>
      </c>
      <c r="AT6" s="38" t="s">
        <v>57</v>
      </c>
      <c r="AU6" s="32">
        <v>-1</v>
      </c>
      <c r="AV6" s="52">
        <f t="shared" si="22"/>
        <v>4</v>
      </c>
    </row>
    <row r="7" spans="1:48" ht="18" customHeight="1">
      <c r="A7" s="48">
        <v>6</v>
      </c>
      <c r="B7" s="49">
        <v>44914.445809942132</v>
      </c>
      <c r="C7" s="50" t="s">
        <v>10</v>
      </c>
      <c r="D7" s="50" t="s">
        <v>85</v>
      </c>
      <c r="E7" s="51">
        <v>353151</v>
      </c>
      <c r="F7" s="27">
        <f t="shared" si="0"/>
        <v>3</v>
      </c>
      <c r="G7" s="27">
        <f t="shared" si="1"/>
        <v>5</v>
      </c>
      <c r="H7" s="27">
        <f t="shared" si="2"/>
        <v>3</v>
      </c>
      <c r="I7" s="27">
        <f t="shared" si="3"/>
        <v>1</v>
      </c>
      <c r="J7" s="27">
        <f t="shared" si="4"/>
        <v>5</v>
      </c>
      <c r="K7" s="27">
        <f t="shared" si="5"/>
        <v>1</v>
      </c>
      <c r="L7" s="50" t="s">
        <v>79</v>
      </c>
      <c r="M7" s="32">
        <f t="shared" si="6"/>
        <v>1</v>
      </c>
      <c r="N7" s="32">
        <f t="shared" si="7"/>
        <v>0</v>
      </c>
      <c r="O7" s="32">
        <f t="shared" si="8"/>
        <v>0</v>
      </c>
      <c r="P7" s="32">
        <f t="shared" si="9"/>
        <v>-1</v>
      </c>
      <c r="Q7" s="32">
        <f t="shared" si="10"/>
        <v>1</v>
      </c>
      <c r="R7" s="32">
        <f t="shared" si="11"/>
        <v>0</v>
      </c>
      <c r="S7" s="50" t="s">
        <v>78</v>
      </c>
      <c r="T7" s="32">
        <f t="shared" si="12"/>
        <v>0</v>
      </c>
      <c r="U7" s="32">
        <f t="shared" si="13"/>
        <v>0</v>
      </c>
      <c r="V7" s="32">
        <f t="shared" si="14"/>
        <v>1</v>
      </c>
      <c r="W7" s="32">
        <f t="shared" si="15"/>
        <v>0</v>
      </c>
      <c r="X7" s="32">
        <f t="shared" si="16"/>
        <v>1</v>
      </c>
      <c r="Y7" s="32">
        <f t="shared" si="17"/>
        <v>-1</v>
      </c>
      <c r="Z7" s="50" t="s">
        <v>70</v>
      </c>
      <c r="AA7" s="32">
        <v>1</v>
      </c>
      <c r="AB7" s="56" t="s">
        <v>84</v>
      </c>
      <c r="AC7" s="37">
        <f t="shared" si="18"/>
        <v>-5.7850579886033247</v>
      </c>
      <c r="AD7" s="38" t="s">
        <v>57</v>
      </c>
      <c r="AE7" s="32">
        <v>-1</v>
      </c>
      <c r="AF7" s="56" t="s">
        <v>83</v>
      </c>
      <c r="AG7" s="37">
        <f t="shared" si="19"/>
        <v>70.546956698999495</v>
      </c>
      <c r="AH7" s="38" t="s">
        <v>61</v>
      </c>
      <c r="AI7" s="32">
        <v>-1</v>
      </c>
      <c r="AJ7" s="54"/>
      <c r="AK7" s="37">
        <f>10*LOG10(EXP(-Beta*(100+K7*20)))</f>
        <v>-0.93807608091102401</v>
      </c>
      <c r="AL7" s="38" t="s">
        <v>61</v>
      </c>
      <c r="AM7" s="32">
        <v>0</v>
      </c>
      <c r="AN7" s="56" t="s">
        <v>82</v>
      </c>
      <c r="AO7" s="39">
        <f t="shared" si="20"/>
        <v>-5.6846058862052127</v>
      </c>
      <c r="AP7" s="38" t="s">
        <v>123</v>
      </c>
      <c r="AQ7" s="32">
        <v>1</v>
      </c>
      <c r="AR7" s="56" t="s">
        <v>81</v>
      </c>
      <c r="AS7" s="37">
        <f t="shared" si="21"/>
        <v>3.9259242769845191</v>
      </c>
      <c r="AT7" s="38" t="s">
        <v>57</v>
      </c>
      <c r="AU7" s="32">
        <v>1</v>
      </c>
      <c r="AV7" s="52">
        <f t="shared" si="22"/>
        <v>3</v>
      </c>
    </row>
    <row r="8" spans="1:48" ht="18" customHeight="1">
      <c r="A8" s="48">
        <v>7</v>
      </c>
      <c r="B8" s="49">
        <v>44914.446157407408</v>
      </c>
      <c r="C8" s="50" t="s">
        <v>12</v>
      </c>
      <c r="D8" s="50" t="s">
        <v>80</v>
      </c>
      <c r="E8" s="51">
        <v>354607</v>
      </c>
      <c r="F8" s="27">
        <f t="shared" si="0"/>
        <v>3</v>
      </c>
      <c r="G8" s="27">
        <f t="shared" si="1"/>
        <v>5</v>
      </c>
      <c r="H8" s="27">
        <f t="shared" si="2"/>
        <v>4</v>
      </c>
      <c r="I8" s="27">
        <f t="shared" si="3"/>
        <v>6</v>
      </c>
      <c r="J8" s="27">
        <f t="shared" si="4"/>
        <v>0</v>
      </c>
      <c r="K8" s="27">
        <f t="shared" si="5"/>
        <v>7</v>
      </c>
      <c r="L8" s="50" t="s">
        <v>79</v>
      </c>
      <c r="M8" s="32">
        <f t="shared" si="6"/>
        <v>1</v>
      </c>
      <c r="N8" s="32">
        <f t="shared" si="7"/>
        <v>0</v>
      </c>
      <c r="O8" s="32">
        <f t="shared" si="8"/>
        <v>0</v>
      </c>
      <c r="P8" s="32">
        <f t="shared" si="9"/>
        <v>-1</v>
      </c>
      <c r="Q8" s="32">
        <f t="shared" si="10"/>
        <v>1</v>
      </c>
      <c r="R8" s="32">
        <f t="shared" si="11"/>
        <v>0</v>
      </c>
      <c r="S8" s="50" t="s">
        <v>78</v>
      </c>
      <c r="T8" s="32">
        <f t="shared" si="12"/>
        <v>0</v>
      </c>
      <c r="U8" s="32">
        <f t="shared" si="13"/>
        <v>0</v>
      </c>
      <c r="V8" s="32">
        <f t="shared" si="14"/>
        <v>1</v>
      </c>
      <c r="W8" s="32">
        <f t="shared" si="15"/>
        <v>0</v>
      </c>
      <c r="X8" s="32">
        <f t="shared" si="16"/>
        <v>1</v>
      </c>
      <c r="Y8" s="32">
        <f t="shared" si="17"/>
        <v>-1</v>
      </c>
      <c r="Z8" s="50" t="s">
        <v>70</v>
      </c>
      <c r="AA8" s="32">
        <v>1</v>
      </c>
      <c r="AB8" s="57" t="s">
        <v>77</v>
      </c>
      <c r="AC8" s="37">
        <f xml:space="preserve"> 20*LOG10((0.5+0.5*COS((50+K8*3)/180*PI()))^3)</f>
        <v>-10.717676018918507</v>
      </c>
      <c r="AD8" s="38" t="s">
        <v>57</v>
      </c>
      <c r="AE8" s="32">
        <v>-1</v>
      </c>
      <c r="AF8" s="57" t="s">
        <v>76</v>
      </c>
      <c r="AG8" s="37">
        <f t="shared" si="19"/>
        <v>73.994280817923539</v>
      </c>
      <c r="AH8" s="38" t="s">
        <v>61</v>
      </c>
      <c r="AI8" s="32">
        <v>1</v>
      </c>
      <c r="AJ8" s="54"/>
      <c r="AK8" s="37">
        <f>10*LOG10(EXP(-Beta*(100+K8*20)))</f>
        <v>-1.8761521618220476</v>
      </c>
      <c r="AL8" s="38" t="s">
        <v>61</v>
      </c>
      <c r="AM8" s="32">
        <v>0</v>
      </c>
      <c r="AN8" s="57" t="s">
        <v>75</v>
      </c>
      <c r="AO8" s="39">
        <f t="shared" si="20"/>
        <v>0.44516535694308718</v>
      </c>
      <c r="AP8" s="38" t="s">
        <v>123</v>
      </c>
      <c r="AQ8" s="32">
        <v>1</v>
      </c>
      <c r="AR8" s="57" t="s">
        <v>74</v>
      </c>
      <c r="AS8" s="37">
        <f t="shared" si="21"/>
        <v>-0.18172579739697359</v>
      </c>
      <c r="AT8" s="38" t="s">
        <v>57</v>
      </c>
      <c r="AU8" s="32">
        <v>1</v>
      </c>
      <c r="AV8" s="52">
        <f t="shared" si="22"/>
        <v>5</v>
      </c>
    </row>
    <row r="9" spans="1:48" ht="18" customHeight="1" thickBot="1">
      <c r="A9" s="58">
        <v>8</v>
      </c>
      <c r="B9" s="59">
        <v>44914.446306157406</v>
      </c>
      <c r="C9" s="60" t="s">
        <v>15</v>
      </c>
      <c r="D9" s="60" t="s">
        <v>73</v>
      </c>
      <c r="E9" s="61">
        <v>330937</v>
      </c>
      <c r="F9" s="62">
        <f t="shared" si="0"/>
        <v>3</v>
      </c>
      <c r="G9" s="62">
        <f t="shared" si="1"/>
        <v>3</v>
      </c>
      <c r="H9" s="62">
        <f t="shared" si="2"/>
        <v>0</v>
      </c>
      <c r="I9" s="62">
        <f t="shared" si="3"/>
        <v>9</v>
      </c>
      <c r="J9" s="62">
        <f t="shared" si="4"/>
        <v>3</v>
      </c>
      <c r="K9" s="62">
        <f t="shared" si="5"/>
        <v>7</v>
      </c>
      <c r="L9" s="60" t="s">
        <v>72</v>
      </c>
      <c r="M9" s="6">
        <f t="shared" si="6"/>
        <v>1</v>
      </c>
      <c r="N9" s="6">
        <f t="shared" si="7"/>
        <v>-1</v>
      </c>
      <c r="O9" s="6">
        <f t="shared" si="8"/>
        <v>0</v>
      </c>
      <c r="P9" s="6">
        <f t="shared" si="9"/>
        <v>-1</v>
      </c>
      <c r="Q9" s="6">
        <f t="shared" si="10"/>
        <v>1</v>
      </c>
      <c r="R9" s="6">
        <f t="shared" si="11"/>
        <v>0</v>
      </c>
      <c r="S9" s="60" t="s">
        <v>71</v>
      </c>
      <c r="T9" s="6">
        <f t="shared" si="12"/>
        <v>0</v>
      </c>
      <c r="U9" s="6">
        <f t="shared" si="13"/>
        <v>1</v>
      </c>
      <c r="V9" s="6">
        <f t="shared" si="14"/>
        <v>1</v>
      </c>
      <c r="W9" s="6">
        <f t="shared" si="15"/>
        <v>0</v>
      </c>
      <c r="X9" s="6">
        <f t="shared" si="16"/>
        <v>1</v>
      </c>
      <c r="Y9" s="6">
        <f t="shared" si="17"/>
        <v>-1</v>
      </c>
      <c r="Z9" s="60" t="s">
        <v>70</v>
      </c>
      <c r="AA9" s="6">
        <v>1</v>
      </c>
      <c r="AB9" s="63"/>
      <c r="AC9" s="64">
        <f t="shared" si="18"/>
        <v>-10.717676018918507</v>
      </c>
      <c r="AD9" s="65" t="s">
        <v>57</v>
      </c>
      <c r="AE9" s="6">
        <v>0</v>
      </c>
      <c r="AF9" s="60" t="s">
        <v>69</v>
      </c>
      <c r="AG9" s="64">
        <f t="shared" si="19"/>
        <v>73.687740194352273</v>
      </c>
      <c r="AH9" s="65" t="s">
        <v>61</v>
      </c>
      <c r="AI9" s="6">
        <v>1</v>
      </c>
      <c r="AJ9" s="63"/>
      <c r="AK9" s="64">
        <f>10*LOG10(EXP(-Beta*(100+K9*20)))</f>
        <v>-1.8761521618220476</v>
      </c>
      <c r="AL9" s="65" t="s">
        <v>61</v>
      </c>
      <c r="AM9" s="6">
        <v>0</v>
      </c>
      <c r="AN9" s="60" t="s">
        <v>68</v>
      </c>
      <c r="AO9" s="66">
        <f t="shared" si="20"/>
        <v>3.8751771238909476</v>
      </c>
      <c r="AP9" s="65" t="s">
        <v>123</v>
      </c>
      <c r="AQ9" s="6">
        <v>1</v>
      </c>
      <c r="AR9" s="60" t="s">
        <v>67</v>
      </c>
      <c r="AS9" s="64">
        <f t="shared" si="21"/>
        <v>-1.3618093186026932</v>
      </c>
      <c r="AT9" s="65" t="s">
        <v>57</v>
      </c>
      <c r="AU9" s="6">
        <v>-1</v>
      </c>
      <c r="AV9" s="67">
        <f t="shared" si="22"/>
        <v>4</v>
      </c>
    </row>
    <row r="11" spans="1:48" ht="15.75" customHeight="1">
      <c r="A11" s="35" t="s">
        <v>127</v>
      </c>
      <c r="AD11" s="26"/>
    </row>
    <row r="12" spans="1:48" ht="15.75" customHeight="1">
      <c r="A12" s="34" t="s">
        <v>129</v>
      </c>
      <c r="B12" s="34"/>
      <c r="C12" s="34"/>
      <c r="D12" s="34"/>
      <c r="Z12" s="26"/>
    </row>
    <row r="13" spans="1:48" ht="15.75" customHeight="1">
      <c r="A13" s="33" t="s">
        <v>128</v>
      </c>
      <c r="B13" s="33"/>
      <c r="C13" s="33"/>
      <c r="D13" s="33"/>
    </row>
    <row r="14" spans="1:48" ht="15.75" customHeight="1">
      <c r="A14" s="36" t="s">
        <v>135</v>
      </c>
      <c r="B14" s="36"/>
      <c r="C14" s="36"/>
      <c r="D14" s="36"/>
    </row>
    <row r="15" spans="1:48" ht="15.75" customHeight="1">
      <c r="A15" s="69" t="s">
        <v>136</v>
      </c>
      <c r="B15" s="69"/>
      <c r="C15" s="69"/>
      <c r="D15" s="69"/>
    </row>
  </sheetData>
  <conditionalFormatting sqref="M2:R9">
    <cfRule type="aboveAverage" dxfId="26" priority="26" aboveAverage="0"/>
    <cfRule type="aboveAverage" dxfId="25" priority="27"/>
  </conditionalFormatting>
  <conditionalFormatting sqref="M2:R9">
    <cfRule type="cellIs" dxfId="24" priority="25" operator="equal">
      <formula>0</formula>
    </cfRule>
  </conditionalFormatting>
  <conditionalFormatting sqref="T2:Y2">
    <cfRule type="aboveAverage" dxfId="23" priority="23" aboveAverage="0"/>
    <cfRule type="aboveAverage" dxfId="22" priority="24"/>
  </conditionalFormatting>
  <conditionalFormatting sqref="T2:Y2">
    <cfRule type="cellIs" dxfId="21" priority="22" operator="equal">
      <formula>0</formula>
    </cfRule>
  </conditionalFormatting>
  <conditionalFormatting sqref="T3:Y9">
    <cfRule type="aboveAverage" dxfId="20" priority="20" aboveAverage="0"/>
    <cfRule type="aboveAverage" dxfId="19" priority="21"/>
  </conditionalFormatting>
  <conditionalFormatting sqref="T3:Y9">
    <cfRule type="cellIs" dxfId="18" priority="19" operator="equal">
      <formula>0</formula>
    </cfRule>
  </conditionalFormatting>
  <conditionalFormatting sqref="AA2:AA9">
    <cfRule type="cellIs" dxfId="17" priority="17" operator="equal">
      <formula>-1</formula>
    </cfRule>
    <cfRule type="cellIs" dxfId="16" priority="18" operator="equal">
      <formula>1</formula>
    </cfRule>
  </conditionalFormatting>
  <conditionalFormatting sqref="AA2:AA9">
    <cfRule type="cellIs" dxfId="15" priority="16" operator="equal">
      <formula>0</formula>
    </cfRule>
  </conditionalFormatting>
  <conditionalFormatting sqref="AE2:AE9">
    <cfRule type="cellIs" dxfId="14" priority="14" operator="equal">
      <formula>-1</formula>
    </cfRule>
    <cfRule type="cellIs" dxfId="13" priority="15" operator="equal">
      <formula>1</formula>
    </cfRule>
  </conditionalFormatting>
  <conditionalFormatting sqref="AE2:AE9">
    <cfRule type="cellIs" dxfId="12" priority="13" operator="equal">
      <formula>0</formula>
    </cfRule>
  </conditionalFormatting>
  <conditionalFormatting sqref="AI2:AI9">
    <cfRule type="cellIs" dxfId="11" priority="11" operator="equal">
      <formula>-1</formula>
    </cfRule>
    <cfRule type="cellIs" dxfId="10" priority="12" operator="equal">
      <formula>1</formula>
    </cfRule>
  </conditionalFormatting>
  <conditionalFormatting sqref="AI2:AI9">
    <cfRule type="cellIs" dxfId="9" priority="10" operator="equal">
      <formula>0</formula>
    </cfRule>
  </conditionalFormatting>
  <conditionalFormatting sqref="AM2:AM9">
    <cfRule type="cellIs" dxfId="8" priority="8" operator="equal">
      <formula>-1</formula>
    </cfRule>
    <cfRule type="cellIs" dxfId="7" priority="9" operator="equal">
      <formula>1</formula>
    </cfRule>
  </conditionalFormatting>
  <conditionalFormatting sqref="AM2:AM9">
    <cfRule type="cellIs" dxfId="6" priority="7" operator="equal">
      <formula>0</formula>
    </cfRule>
  </conditionalFormatting>
  <conditionalFormatting sqref="AQ2:AQ9">
    <cfRule type="cellIs" dxfId="5" priority="5" operator="equal">
      <formula>-1</formula>
    </cfRule>
    <cfRule type="cellIs" dxfId="4" priority="6" operator="equal">
      <formula>1</formula>
    </cfRule>
  </conditionalFormatting>
  <conditionalFormatting sqref="AQ2:AQ9">
    <cfRule type="cellIs" dxfId="3" priority="4" operator="equal">
      <formula>0</formula>
    </cfRule>
  </conditionalFormatting>
  <conditionalFormatting sqref="AU2:AU9">
    <cfRule type="cellIs" dxfId="2" priority="2" operator="equal">
      <formula>-1</formula>
    </cfRule>
    <cfRule type="cellIs" dxfId="1" priority="3" operator="equal">
      <formula>1</formula>
    </cfRule>
  </conditionalFormatting>
  <conditionalFormatting sqref="AU2:AU9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Solution</vt:lpstr>
      <vt:lpstr>Form responses 1</vt:lpstr>
      <vt:lpstr>A</vt:lpstr>
      <vt:lpstr>B</vt:lpstr>
      <vt:lpstr>Beta</vt:lpstr>
      <vt:lpstr>CC</vt:lpstr>
      <vt:lpstr>D</vt:lpstr>
      <vt:lpstr>dist</vt:lpstr>
      <vt:lpstr>E</vt:lpstr>
      <vt:lpstr>F</vt:lpstr>
      <vt:lpstr>Ncars</vt:lpstr>
      <vt:lpstr>Ntracks</vt:lpstr>
      <vt:lpstr>Ntrucks</vt:lpstr>
      <vt:lpstr>SELcars</vt:lpstr>
      <vt:lpstr>SELtrucks</vt:lpstr>
      <vt:lpstr>Theta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2022-12-19T16:28:29Z</dcterms:created>
  <dcterms:modified xsi:type="dcterms:W3CDTF">2022-12-19T19:26:13Z</dcterms:modified>
</cp:coreProperties>
</file>