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2\Tests\"/>
    </mc:Choice>
  </mc:AlternateContent>
  <xr:revisionPtr revIDLastSave="0" documentId="13_ncr:1_{5EB20D8C-B5D7-4F84-8E3D-DCF8D446EA37}" xr6:coauthVersionLast="47" xr6:coauthVersionMax="47" xr10:uidLastSave="{00000000-0000-0000-0000-000000000000}"/>
  <bookViews>
    <workbookView xWindow="960" yWindow="-98" windowWidth="22178" windowHeight="14595" xr2:uid="{0724B8DF-C02A-4453-B486-1285C437F5BF}"/>
  </bookViews>
  <sheets>
    <sheet name="Solution" sheetId="1" r:id="rId1"/>
    <sheet name="Test-2022-10-24" sheetId="2" r:id="rId2"/>
  </sheets>
  <definedNames>
    <definedName name="A">Solution!$B$4</definedName>
    <definedName name="AA">Solution!$L$43</definedName>
    <definedName name="B">Solution!$C$4</definedName>
    <definedName name="CC">Solution!$D$4</definedName>
    <definedName name="D">Solution!$E$4</definedName>
    <definedName name="dd">Solution!$E$38</definedName>
    <definedName name="E">Solution!$F$4</definedName>
    <definedName name="F">Solution!$G$4</definedName>
    <definedName name="Ldir">Solution!$E$34</definedName>
    <definedName name="Lrev">Solution!$B$34</definedName>
    <definedName name="Q">Solution!$B$39</definedName>
    <definedName name="QQ">Solution!$B$52</definedName>
    <definedName name="SPL">Solution!$B$38</definedName>
    <definedName name="T">Solution!$E$43</definedName>
    <definedName name="V">Solution!$H$43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" i="2" l="1"/>
  <c r="AU4" i="2"/>
  <c r="AU5" i="2"/>
  <c r="AU6" i="2"/>
  <c r="AU7" i="2"/>
  <c r="AU8" i="2"/>
  <c r="AU9" i="2"/>
  <c r="AU10" i="2"/>
  <c r="AU2" i="2"/>
  <c r="AR10" i="2"/>
  <c r="AR9" i="2"/>
  <c r="AR8" i="2"/>
  <c r="AR7" i="2"/>
  <c r="AR6" i="2"/>
  <c r="AR5" i="2"/>
  <c r="AR4" i="2"/>
  <c r="AR3" i="2"/>
  <c r="AR2" i="2"/>
  <c r="N34" i="1"/>
  <c r="T3" i="2"/>
  <c r="U3" i="2"/>
  <c r="V3" i="2"/>
  <c r="W3" i="2"/>
  <c r="X3" i="2"/>
  <c r="T4" i="2"/>
  <c r="U4" i="2"/>
  <c r="V4" i="2"/>
  <c r="W4" i="2"/>
  <c r="X4" i="2"/>
  <c r="T5" i="2"/>
  <c r="U5" i="2"/>
  <c r="V5" i="2"/>
  <c r="W5" i="2"/>
  <c r="X5" i="2"/>
  <c r="T6" i="2"/>
  <c r="U6" i="2"/>
  <c r="V6" i="2"/>
  <c r="W6" i="2"/>
  <c r="X6" i="2"/>
  <c r="T7" i="2"/>
  <c r="U7" i="2"/>
  <c r="V7" i="2"/>
  <c r="W7" i="2"/>
  <c r="X7" i="2"/>
  <c r="T8" i="2"/>
  <c r="U8" i="2"/>
  <c r="V8" i="2"/>
  <c r="W8" i="2"/>
  <c r="X8" i="2"/>
  <c r="T9" i="2"/>
  <c r="U9" i="2"/>
  <c r="V9" i="2"/>
  <c r="W9" i="2"/>
  <c r="X9" i="2"/>
  <c r="T10" i="2"/>
  <c r="U10" i="2"/>
  <c r="V10" i="2"/>
  <c r="W10" i="2"/>
  <c r="X10" i="2"/>
  <c r="X2" i="2"/>
  <c r="W2" i="2"/>
  <c r="V2" i="2"/>
  <c r="U2" i="2"/>
  <c r="T2" i="2"/>
  <c r="M3" i="2"/>
  <c r="N3" i="2"/>
  <c r="O3" i="2"/>
  <c r="P3" i="2"/>
  <c r="Q3" i="2"/>
  <c r="R3" i="2"/>
  <c r="M4" i="2"/>
  <c r="N4" i="2"/>
  <c r="O4" i="2"/>
  <c r="P4" i="2"/>
  <c r="Q4" i="2"/>
  <c r="R4" i="2"/>
  <c r="M5" i="2"/>
  <c r="N5" i="2"/>
  <c r="O5" i="2"/>
  <c r="P5" i="2"/>
  <c r="Q5" i="2"/>
  <c r="R5" i="2"/>
  <c r="M6" i="2"/>
  <c r="N6" i="2"/>
  <c r="O6" i="2"/>
  <c r="P6" i="2"/>
  <c r="Q6" i="2"/>
  <c r="R6" i="2"/>
  <c r="M7" i="2"/>
  <c r="N7" i="2"/>
  <c r="O7" i="2"/>
  <c r="P7" i="2"/>
  <c r="Q7" i="2"/>
  <c r="R7" i="2"/>
  <c r="M8" i="2"/>
  <c r="N8" i="2"/>
  <c r="O8" i="2"/>
  <c r="P8" i="2"/>
  <c r="Q8" i="2"/>
  <c r="R8" i="2"/>
  <c r="M9" i="2"/>
  <c r="N9" i="2"/>
  <c r="O9" i="2"/>
  <c r="P9" i="2"/>
  <c r="Q9" i="2"/>
  <c r="R9" i="2"/>
  <c r="M10" i="2"/>
  <c r="N10" i="2"/>
  <c r="O10" i="2"/>
  <c r="P10" i="2"/>
  <c r="Q10" i="2"/>
  <c r="R10" i="2"/>
  <c r="R2" i="2"/>
  <c r="Q2" i="2"/>
  <c r="P2" i="2"/>
  <c r="O2" i="2"/>
  <c r="N2" i="2"/>
  <c r="M2" i="2"/>
  <c r="F10" i="2"/>
  <c r="F9" i="2"/>
  <c r="G9" i="2" s="1"/>
  <c r="F8" i="2"/>
  <c r="G8" i="2" s="1"/>
  <c r="F7" i="2"/>
  <c r="G7" i="2" s="1"/>
  <c r="F6" i="2"/>
  <c r="F5" i="2"/>
  <c r="F4" i="2"/>
  <c r="F3" i="2"/>
  <c r="F2" i="2"/>
  <c r="H8" i="2" l="1"/>
  <c r="I8" i="2" s="1"/>
  <c r="AB8" i="2" s="1"/>
  <c r="H7" i="2"/>
  <c r="G2" i="2"/>
  <c r="H2" i="2" s="1"/>
  <c r="G10" i="2"/>
  <c r="H10" i="2" s="1"/>
  <c r="G3" i="2"/>
  <c r="H3" i="2" s="1"/>
  <c r="I3" i="2" s="1"/>
  <c r="AB3" i="2" s="1"/>
  <c r="G6" i="2"/>
  <c r="H9" i="2"/>
  <c r="I9" i="2" s="1"/>
  <c r="AB9" i="2" s="1"/>
  <c r="G4" i="2"/>
  <c r="H4" i="2" s="1"/>
  <c r="G5" i="2"/>
  <c r="H5" i="2" s="1"/>
  <c r="J9" i="2" l="1"/>
  <c r="K9" i="2" s="1"/>
  <c r="AN9" i="2" s="1"/>
  <c r="H6" i="2"/>
  <c r="J3" i="2"/>
  <c r="K3" i="2" s="1"/>
  <c r="AN3" i="2" s="1"/>
  <c r="I10" i="2"/>
  <c r="I7" i="2"/>
  <c r="AB7" i="2" s="1"/>
  <c r="J8" i="2"/>
  <c r="K8" i="2" s="1"/>
  <c r="AN8" i="2" s="1"/>
  <c r="I4" i="2"/>
  <c r="I5" i="2"/>
  <c r="I2" i="2"/>
  <c r="AF8" i="2" l="1"/>
  <c r="AJ8" i="2"/>
  <c r="AF3" i="2"/>
  <c r="AJ3" i="2"/>
  <c r="AF9" i="2"/>
  <c r="AJ9" i="2"/>
  <c r="J2" i="2"/>
  <c r="K2" i="2" s="1"/>
  <c r="AN2" i="2" s="1"/>
  <c r="AB2" i="2"/>
  <c r="J4" i="2"/>
  <c r="K4" i="2" s="1"/>
  <c r="AN4" i="2" s="1"/>
  <c r="AB4" i="2"/>
  <c r="J5" i="2"/>
  <c r="AB5" i="2"/>
  <c r="J10" i="2"/>
  <c r="K10" i="2" s="1"/>
  <c r="AN10" i="2" s="1"/>
  <c r="AB10" i="2"/>
  <c r="J7" i="2"/>
  <c r="K7" i="2" s="1"/>
  <c r="AN7" i="2" s="1"/>
  <c r="K5" i="2"/>
  <c r="AN5" i="2" s="1"/>
  <c r="I6" i="2"/>
  <c r="AF5" i="2" l="1"/>
  <c r="AJ5" i="2"/>
  <c r="AF7" i="2"/>
  <c r="AJ7" i="2"/>
  <c r="AF10" i="2"/>
  <c r="AJ10" i="2"/>
  <c r="AF2" i="2"/>
  <c r="AJ2" i="2"/>
  <c r="AF4" i="2"/>
  <c r="AJ4" i="2"/>
  <c r="J6" i="2"/>
  <c r="K6" i="2" s="1"/>
  <c r="AN6" i="2" s="1"/>
  <c r="AB6" i="2"/>
  <c r="AF6" i="2" l="1"/>
  <c r="AJ6" i="2"/>
  <c r="B52" i="1" l="1"/>
  <c r="E55" i="1" s="1"/>
  <c r="H43" i="1"/>
  <c r="E43" i="1"/>
  <c r="E38" i="1"/>
  <c r="B38" i="1"/>
  <c r="D48" i="1" s="1"/>
  <c r="B34" i="1"/>
  <c r="I39" i="1" l="1"/>
  <c r="L43" i="1"/>
  <c r="D44" i="1" s="1"/>
  <c r="E34" i="1"/>
  <c r="L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Angelo Farina</author>
  </authors>
  <commentList>
    <comment ref="AB2" authorId="0" shapeId="0" xr:uid="{3B708E81-3DB7-41A4-8727-F0D7EF419AD6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" authorId="0" shapeId="0" xr:uid="{AE3F5684-BBAE-4A74-BE17-064A8E1EC5FA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0" shapeId="0" xr:uid="{00E364C9-E943-4CB9-8960-8DF756FDCCDF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2" authorId="0" shapeId="0" xr:uid="{9310705E-6F52-415C-B769-C5F529C5F9A3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2" authorId="0" shapeId="0" xr:uid="{1A4F1FF5-3E9E-4C10-80B5-4E5BE0A7A3FE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3" authorId="0" shapeId="0" xr:uid="{06B1B93B-BA09-4105-BBA5-9E8FADED7BF0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3" authorId="0" shapeId="0" xr:uid="{EBC3D8FA-4235-488A-ACE5-4C03DD366D94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4" authorId="0" shapeId="0" xr:uid="{EB90F54A-9120-461C-AF56-7D3DD1987A8A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4" authorId="0" shapeId="0" xr:uid="{127492BE-5002-477D-8D55-4DF322549B18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5" authorId="0" shapeId="0" xr:uid="{8E517B5D-B94A-4243-9498-DEC0FBB0E4DE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5" authorId="0" shapeId="0" xr:uid="{D5BDB5A2-17B8-483F-AB33-840B077281A0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6" authorId="0" shapeId="0" xr:uid="{74088BFE-9B64-40F5-B5CE-D2A63756F605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6" authorId="0" shapeId="0" xr:uid="{98AB52F0-23EC-432F-8B68-9644736B2656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7" authorId="0" shapeId="0" xr:uid="{63BA1320-B6D3-45EE-8CD4-B15995042CB9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7" authorId="0" shapeId="0" xr:uid="{816114C2-4E37-486D-9AC5-1F291C9CA932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8" authorId="0" shapeId="0" xr:uid="{16A837BB-BEB8-4D71-8B3A-EF71B5889401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8" authorId="0" shapeId="0" xr:uid="{36B253A0-4F08-4E80-A6AD-65A774CF288C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9" authorId="0" shapeId="0" xr:uid="{3325D1F3-D3AF-4899-949D-11CE370C205E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9" authorId="0" shapeId="0" xr:uid="{0B84EF51-FF84-4C01-8276-508FD2DDA982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10" authorId="0" shapeId="0" xr:uid="{62ADD126-95AF-4632-9EC0-1990F49923C1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10" authorId="0" shapeId="0" xr:uid="{6C7807B2-3B7D-47BA-B862-2A8425D5549E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<sst xmlns="http://schemas.openxmlformats.org/spreadsheetml/2006/main" count="256" uniqueCount="147">
  <si>
    <t>In class test - 24-10-2022</t>
  </si>
  <si>
    <t>Matricola</t>
  </si>
  <si>
    <t>A</t>
  </si>
  <si>
    <t>B</t>
  </si>
  <si>
    <t>C</t>
  </si>
  <si>
    <t>D</t>
  </si>
  <si>
    <t>E</t>
  </si>
  <si>
    <t>F</t>
  </si>
  <si>
    <t xml:space="preserve">1. Check the sentences you think are always TRUE </t>
  </si>
  <si>
    <t>multiple answers allowed: for each answer, 1 point if correct, -1 point if wrong, 0 point if "not selected"</t>
  </si>
  <si>
    <t>Air absorption is the dominant cause of sound level reduction with distance</t>
  </si>
  <si>
    <t>Geometrical divergence is the dominant cause of sound level reduction with distance</t>
  </si>
  <si>
    <t>the "excess attenuation" always reduces the SPL</t>
  </si>
  <si>
    <t>some atmospheric effects can increase the SPL</t>
  </si>
  <si>
    <t>A sound barrier provides sound attenuation only for receivers in the "shadow zone"</t>
  </si>
  <si>
    <t>A sound barrier provides sound attenuation also for receivers outside the "shadow zone", which can "see" the source</t>
  </si>
  <si>
    <r>
      <t xml:space="preserve">2) </t>
    </r>
    <r>
      <rPr>
        <b/>
        <sz val="12"/>
        <color rgb="FF202124"/>
        <rFont val="Calibri"/>
        <family val="2"/>
        <scheme val="minor"/>
      </rPr>
      <t>What's the effect of the directivity of a sound source?</t>
    </r>
    <r>
      <rPr>
        <b/>
        <sz val="11"/>
        <color rgb="FF000000"/>
        <rFont val="Calibri"/>
        <family val="2"/>
        <scheme val="minor"/>
      </rPr>
      <t xml:space="preserve"> </t>
    </r>
  </si>
  <si>
    <t>A directive sound source always produces an increase of the SPL compared with an omnidirectional source having the same power</t>
  </si>
  <si>
    <t>A directive sound source radiates sound only on a portion of the sphere</t>
  </si>
  <si>
    <t>A directive sound source boosts the level in some directions and reduces the level in other directions.</t>
  </si>
  <si>
    <t>Only spherical sources can be directive, cylindrical sources have no directivity</t>
  </si>
  <si>
    <t>A directive sound source can increase significantly the critical distance</t>
  </si>
  <si>
    <r>
      <t xml:space="preserve">3) </t>
    </r>
    <r>
      <rPr>
        <b/>
        <sz val="12"/>
        <color rgb="FF202124"/>
        <rFont val="Calibri"/>
        <family val="2"/>
        <scheme val="minor"/>
      </rPr>
      <t>In a semi-reverberant sound field:</t>
    </r>
  </si>
  <si>
    <t>Only one answer allowed, 1 point if correct, -1 if wrong, 0 if no answer</t>
  </si>
  <si>
    <t>The level does not change with the source-receiver distance</t>
  </si>
  <si>
    <t>The level decays by 6 dB / doubling distance</t>
  </si>
  <si>
    <t>The level decays by 3 dB / doubling distance</t>
  </si>
  <si>
    <t>The level decays initially by 6 dB / doubling distance, then the decay smooths down, and beyond a certain distance the level is constant</t>
  </si>
  <si>
    <t>The level decays initially by 6 dB / doubling distance, and then becomes constant beyond the critical distance</t>
  </si>
  <si>
    <t>At the critical distance the SPL is 6 dB above the reverberant field level.</t>
  </si>
  <si>
    <t>(write number and measurement unit)</t>
  </si>
  <si>
    <r>
      <t> </t>
    </r>
    <r>
      <rPr>
        <b/>
        <sz val="11"/>
        <color rgb="FF000000"/>
        <rFont val="Calibri"/>
        <family val="2"/>
        <scheme val="minor"/>
      </rPr>
      <t xml:space="preserve">5) The SPL is 88+F dB(A) at a distance of 10+E m from an omnidirectional point source, placed over a reflecting plane. Compute the power level Lw of the sound source. </t>
    </r>
  </si>
  <si>
    <r>
      <t> </t>
    </r>
    <r>
      <rPr>
        <b/>
        <sz val="11"/>
        <color rgb="FF000000"/>
        <rFont val="Calibri"/>
        <family val="2"/>
        <scheme val="minor"/>
      </rPr>
      <t xml:space="preserve">6) The SPL is 88+F dB(A) inside a reverberant room, where T = 2+E/10 s and V = 300+D*20 m3. Compute the power level Lw of the sound source. </t>
    </r>
  </si>
  <si>
    <r>
      <t> </t>
    </r>
    <r>
      <rPr>
        <b/>
        <sz val="11"/>
        <color rgb="FF000000"/>
        <rFont val="Calibri"/>
        <family val="2"/>
        <scheme val="minor"/>
      </rPr>
      <t xml:space="preserve">7) Compute the SPL at the critical distance in the same room as the previous exercise. </t>
    </r>
  </si>
  <si>
    <r>
      <t>8) Compute the critical distance in the room of the previous exercise, knowing that the directivity of the sound source is Q = 3+F/3</t>
    </r>
    <r>
      <rPr>
        <sz val="11"/>
        <color rgb="FF000000"/>
        <rFont val="Calibri"/>
        <family val="2"/>
        <scheme val="minor"/>
      </rPr>
      <t xml:space="preserve"> </t>
    </r>
  </si>
  <si>
    <t>¨</t>
  </si>
  <si>
    <t xml:space="preserve">      S</t>
  </si>
  <si>
    <t xml:space="preserve">      R in shadow zone</t>
  </si>
  <si>
    <t xml:space="preserve">      R out of shadow zone</t>
  </si>
  <si>
    <t>No, it is +3dB above the rev. field level</t>
  </si>
  <si>
    <t>Lrev =</t>
  </si>
  <si>
    <t>dB</t>
  </si>
  <si>
    <r>
      <t xml:space="preserve">4) </t>
    </r>
    <r>
      <rPr>
        <b/>
        <sz val="11"/>
        <color rgb="FF202124"/>
        <rFont val="Calibri"/>
        <family val="2"/>
        <scheme val="minor"/>
      </rPr>
      <t xml:space="preserve">Inside a room the reverberant field has a level Lrev=60+D dB. Compute the SPL at a distance from the source equal to </t>
    </r>
    <r>
      <rPr>
        <b/>
        <sz val="11"/>
        <color rgb="FFFF0000"/>
        <rFont val="Calibri"/>
        <family val="2"/>
        <scheme val="minor"/>
      </rPr>
      <t>twice</t>
    </r>
    <r>
      <rPr>
        <b/>
        <sz val="11"/>
        <color rgb="FF202124"/>
        <rFont val="Calibri"/>
        <family val="2"/>
        <scheme val="minor"/>
      </rPr>
      <t xml:space="preserve"> the critical distance.</t>
    </r>
    <r>
      <rPr>
        <b/>
        <sz val="11"/>
        <color rgb="FF000000"/>
        <rFont val="Calibri"/>
        <family val="2"/>
        <scheme val="minor"/>
      </rPr>
      <t xml:space="preserve"> </t>
    </r>
  </si>
  <si>
    <t>Ldir =</t>
  </si>
  <si>
    <t>Ltot = SPL = 10*log10(10^(Ldir/10)+10^(Lrev/10)) =</t>
  </si>
  <si>
    <t>SPL =</t>
  </si>
  <si>
    <t>dB(A)</t>
  </si>
  <si>
    <t>d =</t>
  </si>
  <si>
    <t>m</t>
  </si>
  <si>
    <t>SPL = Lw - 11 - 20*log10(d) + 10*log10(Q)</t>
  </si>
  <si>
    <t>Q =</t>
  </si>
  <si>
    <t>Lw = SPL + 11 + 20*log10(d)-10*log10(Q) =</t>
  </si>
  <si>
    <t>SPL = Lw + 10*log10(4/A)</t>
  </si>
  <si>
    <t>T =</t>
  </si>
  <si>
    <t>s</t>
  </si>
  <si>
    <t>V =</t>
  </si>
  <si>
    <t>m3</t>
  </si>
  <si>
    <t>A = 0.16*V/T =</t>
  </si>
  <si>
    <t>m2</t>
  </si>
  <si>
    <t>Lw = SPL - 10*log10(4/A) =</t>
  </si>
  <si>
    <t>SPL(dcr) = SPLrev+3 =</t>
  </si>
  <si>
    <t>dcr = 2,32621 m</t>
  </si>
  <si>
    <t>Lp = 81,6749 dB</t>
  </si>
  <si>
    <t>A = 272 m2 ; Lw = 106,325 dB</t>
  </si>
  <si>
    <t>Lw = 115,9897 dB</t>
  </si>
  <si>
    <t>A directive sound source boosts the level in some directions and reduces the level in other directions., A directive sound source can increase significantly the critical distance</t>
  </si>
  <si>
    <t>Air absorption is the dominant cause of sound level reduction with distance, the "excess attenuation" always reduces the SPL, A sound barrier provides sound attenuation also for receivers outside the "shadow zone", which can "see" the source</t>
  </si>
  <si>
    <t>020200</t>
  </si>
  <si>
    <t>Sarah FERRO MILON</t>
  </si>
  <si>
    <t>sarah.ferro-milon@student.junia.com</t>
  </si>
  <si>
    <t>dcr = 1.63 m</t>
  </si>
  <si>
    <t>SPL = 106.28 dB(A)</t>
  </si>
  <si>
    <t>Lw = 104.46 dB</t>
  </si>
  <si>
    <t>Lw = 131,59 dB</t>
  </si>
  <si>
    <t>Delvecchio Leonardo</t>
  </si>
  <si>
    <t>leonardo.delvecchio@studenti.unipr.it</t>
  </si>
  <si>
    <t>1,38</t>
  </si>
  <si>
    <t>080500</t>
  </si>
  <si>
    <t>Hugues du Peloux</t>
  </si>
  <si>
    <t>hugues.dplx@gmail.com</t>
  </si>
  <si>
    <t>85.9 dB</t>
  </si>
  <si>
    <t>87.2 dB</t>
  </si>
  <si>
    <t>84.5 dB</t>
  </si>
  <si>
    <t>66 dB</t>
  </si>
  <si>
    <t>Geometrical divergence is the dominant cause of sound level reduction with distance, the "excess attenuation" always reduces the SPL, A sound barrier provides sound attenuation also for receivers outside the "shadow zone", which can "see" the source</t>
  </si>
  <si>
    <t>Tunnera Nicola</t>
  </si>
  <si>
    <t>nicola.tunnera@studenti.unipr.it</t>
  </si>
  <si>
    <t>2,2 m</t>
  </si>
  <si>
    <t>87,2 dB</t>
  </si>
  <si>
    <t>102 dB</t>
  </si>
  <si>
    <t>120 dB</t>
  </si>
  <si>
    <t>67 dB</t>
  </si>
  <si>
    <t>Juliette Chevignard</t>
  </si>
  <si>
    <t>juliette.chevignard@orange.fr</t>
  </si>
  <si>
    <t>1.88 m</t>
  </si>
  <si>
    <t>98 dBA</t>
  </si>
  <si>
    <t>104.2 dBA</t>
  </si>
  <si>
    <t>117.3 dBA</t>
  </si>
  <si>
    <t>A directive sound source radiates sound only on a portion of the sphere, A directive sound source boosts the level in some directions and reduces the level in other directions., A directive sound source can increase significantly the critical distance</t>
  </si>
  <si>
    <t>Volpi Filippo</t>
  </si>
  <si>
    <t>filippo.volpi@studenti.unipr.it</t>
  </si>
  <si>
    <t>2,04 m</t>
  </si>
  <si>
    <t>98,97 dB(A)</t>
  </si>
  <si>
    <t>105,6 dB(A)</t>
  </si>
  <si>
    <t>123,99 dB(A)</t>
  </si>
  <si>
    <t>68,9 dB</t>
  </si>
  <si>
    <t>Air absorption is the dominant cause of sound level reduction with distance, some atmospheric effects can increase the SPL, A sound barrier provides sound attenuation only for receivers in the "shadow zone"</t>
  </si>
  <si>
    <t>Godi Pietro</t>
  </si>
  <si>
    <t>pietro.godi@studenti.unipr.it</t>
  </si>
  <si>
    <t>1.37 m</t>
  </si>
  <si>
    <t>89 dB(A)</t>
  </si>
  <si>
    <t>97.5 dB(A)</t>
  </si>
  <si>
    <t>56.4 dB(A)</t>
  </si>
  <si>
    <t>75 dB</t>
  </si>
  <si>
    <t>some atmospheric effects can increase the SPL, A sound barrier provides sound attenuation also for receivers outside the "shadow zone", which can "see" the source</t>
  </si>
  <si>
    <t>Bayle Florian</t>
  </si>
  <si>
    <t>florian.bayle@studenti.unipr.it</t>
  </si>
  <si>
    <t>1.33 m</t>
  </si>
  <si>
    <t>94 dB(A)</t>
  </si>
  <si>
    <t>98.42 dB(A)</t>
  </si>
  <si>
    <t>124.56 dB(A)</t>
  </si>
  <si>
    <t>65 dB</t>
  </si>
  <si>
    <t>A directive sound source always produces an increase of the SPL compared with an omnidirectional source having the same power, A directive sound source radiates sound only on a portion of the sphere, A directive sound source can increase significantly the critical distance</t>
  </si>
  <si>
    <t>the "excess attenuation" always reduces the SPL, A sound barrier provides sound attenuation also for receivers outside the "shadow zone", which can "see" the source</t>
  </si>
  <si>
    <t>Misiano Salvatore</t>
  </si>
  <si>
    <t>salvatore.misiano@unipr.it</t>
  </si>
  <si>
    <t>8) Compute the critical distance in the room of the previous exercise, knowing that the directivity of the sound source is Q = 3+F/3</t>
  </si>
  <si>
    <t>7) Compute the SPL at the critical distance in the same room as the previous exercise.</t>
  </si>
  <si>
    <t>6) The SPL is 88+F dB(A) inside a reverberant room, where T = 2+E/10 s and V = 300+D*20 m3. Compute the power level Lw of the sound source.</t>
  </si>
  <si>
    <t>5) The SPL is 88+F dB(A) at a distance of 10+E m from an omnidirectional point source, placed over a reflecting plane. Compute the power level Lw of the sound source.</t>
  </si>
  <si>
    <t>4) Inside a room the reverberant field has a level Lrev=60+D dB. Compute the SPL at a distance from the source equal to twice the critical distance.</t>
  </si>
  <si>
    <t xml:space="preserve">3) In a semi-reverberant sound field:	</t>
  </si>
  <si>
    <t>2) What's the effect of the directivity of a sound source?</t>
  </si>
  <si>
    <t>1) Check the sentences you think are TRUE</t>
  </si>
  <si>
    <t>Matricula</t>
  </si>
  <si>
    <t>Surname and Name</t>
  </si>
  <si>
    <t>Email address</t>
  </si>
  <si>
    <t>Timestamp</t>
  </si>
  <si>
    <t>○</t>
  </si>
  <si>
    <t>N.</t>
  </si>
  <si>
    <t>Score</t>
  </si>
  <si>
    <t>OK Value</t>
  </si>
  <si>
    <t>OK unit</t>
  </si>
  <si>
    <t>Missing Units !!!</t>
  </si>
  <si>
    <t>Note</t>
  </si>
  <si>
    <t>TOTAL</t>
  </si>
  <si>
    <t>equated to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</si>
</sst>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/d/yyyy\ h:mm:ss"/>
    <numFmt numFmtId="166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b/>
      <sz val="12"/>
      <color rgb="FF202124"/>
      <name val="Calibri"/>
      <family val="2"/>
      <scheme val="minor"/>
    </font>
    <font>
      <i/>
      <sz val="11"/>
      <color rgb="FF202124"/>
      <name val="Calibri"/>
      <family val="2"/>
      <scheme val="minor"/>
    </font>
    <font>
      <b/>
      <sz val="11"/>
      <color rgb="FF202124"/>
      <name val="Calibri"/>
      <family val="2"/>
      <scheme val="minor"/>
    </font>
    <font>
      <sz val="11"/>
      <color theme="1"/>
      <name val="Wingdings"/>
      <charset val="2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0" fillId="2" borderId="0" xfId="0" applyFill="1"/>
    <xf numFmtId="0" fontId="1" fillId="0" borderId="0" xfId="0" applyFont="1"/>
    <xf numFmtId="164" fontId="1" fillId="0" borderId="1" xfId="0" applyNumberFormat="1" applyFont="1" applyBorder="1"/>
    <xf numFmtId="0" fontId="1" fillId="0" borderId="2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1" fillId="0" borderId="1" xfId="0" applyNumberFormat="1" applyFont="1" applyBorder="1"/>
    <xf numFmtId="2" fontId="1" fillId="0" borderId="2" xfId="0" applyNumberFormat="1" applyFont="1" applyBorder="1"/>
    <xf numFmtId="0" fontId="11" fillId="0" borderId="0" xfId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2" borderId="0" xfId="0" applyFont="1" applyFill="1" applyAlignment="1">
      <alignment horizontal="right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0" xfId="1" applyAlignment="1">
      <alignment horizontal="center"/>
    </xf>
    <xf numFmtId="0" fontId="15" fillId="3" borderId="9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2" fillId="3" borderId="9" xfId="1" applyFont="1" applyFill="1" applyBorder="1"/>
    <xf numFmtId="0" fontId="12" fillId="3" borderId="9" xfId="1" applyFont="1" applyFill="1" applyBorder="1" applyAlignment="1">
      <alignment horizontal="center"/>
    </xf>
    <xf numFmtId="0" fontId="0" fillId="3" borderId="9" xfId="0" applyFill="1" applyBorder="1" applyAlignment="1">
      <alignment horizontal="right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164" fontId="0" fillId="0" borderId="10" xfId="0" applyNumberFormat="1" applyBorder="1"/>
    <xf numFmtId="0" fontId="0" fillId="0" borderId="10" xfId="0" applyBorder="1"/>
    <xf numFmtId="166" fontId="0" fillId="0" borderId="0" xfId="0" applyNumberFormat="1"/>
    <xf numFmtId="0" fontId="1" fillId="3" borderId="9" xfId="0" applyFont="1" applyFill="1" applyBorder="1" applyAlignment="1">
      <alignment horizontal="center"/>
    </xf>
    <xf numFmtId="0" fontId="12" fillId="3" borderId="12" xfId="1" applyFont="1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11" fillId="0" borderId="14" xfId="1" applyBorder="1" applyAlignment="1">
      <alignment horizontal="center"/>
    </xf>
    <xf numFmtId="165" fontId="12" fillId="0" borderId="10" xfId="1" applyNumberFormat="1" applyFont="1" applyBorder="1" applyAlignment="1">
      <alignment horizontal="center"/>
    </xf>
    <xf numFmtId="0" fontId="12" fillId="0" borderId="10" xfId="1" applyFont="1" applyBorder="1"/>
    <xf numFmtId="0" fontId="12" fillId="0" borderId="10" xfId="1" applyFont="1" applyBorder="1" applyAlignment="1">
      <alignment horizontal="center"/>
    </xf>
    <xf numFmtId="0" fontId="11" fillId="0" borderId="10" xfId="1" applyBorder="1"/>
    <xf numFmtId="0" fontId="11" fillId="0" borderId="15" xfId="1" applyBorder="1"/>
    <xf numFmtId="0" fontId="12" fillId="0" borderId="10" xfId="1" quotePrefix="1" applyFont="1" applyBorder="1" applyAlignment="1">
      <alignment horizontal="center"/>
    </xf>
    <xf numFmtId="0" fontId="12" fillId="4" borderId="10" xfId="1" applyFont="1" applyFill="1" applyBorder="1" applyAlignment="1">
      <alignment horizontal="left"/>
    </xf>
    <xf numFmtId="0" fontId="12" fillId="4" borderId="10" xfId="1" applyFont="1" applyFill="1" applyBorder="1"/>
    <xf numFmtId="0" fontId="11" fillId="4" borderId="15" xfId="1" applyFill="1" applyBorder="1"/>
    <xf numFmtId="0" fontId="11" fillId="0" borderId="16" xfId="1" applyBorder="1" applyAlignment="1">
      <alignment horizontal="center"/>
    </xf>
    <xf numFmtId="165" fontId="12" fillId="0" borderId="11" xfId="1" applyNumberFormat="1" applyFont="1" applyBorder="1" applyAlignment="1">
      <alignment horizontal="center"/>
    </xf>
    <xf numFmtId="0" fontId="12" fillId="0" borderId="11" xfId="1" applyFont="1" applyBorder="1"/>
    <xf numFmtId="0" fontId="12" fillId="0" borderId="11" xfId="1" quotePrefix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1" xfId="1" applyBorder="1"/>
    <xf numFmtId="164" fontId="0" fillId="0" borderId="11" xfId="0" applyNumberFormat="1" applyBorder="1"/>
    <xf numFmtId="0" fontId="0" fillId="0" borderId="11" xfId="0" applyBorder="1"/>
    <xf numFmtId="0" fontId="11" fillId="0" borderId="17" xfId="1" applyBorder="1"/>
    <xf numFmtId="2" fontId="0" fillId="0" borderId="10" xfId="0" applyNumberFormat="1" applyBorder="1"/>
    <xf numFmtId="2" fontId="0" fillId="0" borderId="11" xfId="0" applyNumberFormat="1" applyBorder="1"/>
    <xf numFmtId="0" fontId="19" fillId="0" borderId="10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10" fillId="0" borderId="0" xfId="0" applyFont="1"/>
  </cellXfs>
  <cellStyles count="2">
    <cellStyle name="Normal" xfId="0" builtinId="0"/>
    <cellStyle name="Normal 2" xfId="1" xr:uid="{5BB64E11-1DBD-473A-B8B7-DC47ACA0C761}"/>
  </cellStyles>
  <dxfs count="24"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497840</xdr:colOff>
      <xdr:row>10</xdr:row>
      <xdr:rowOff>111760</xdr:rowOff>
    </xdr:from>
    <xdr:to>
      <xdr:col>14</xdr:col>
      <xdr:colOff>96520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93840" y="1940560"/>
          <a:ext cx="203708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254000</xdr:colOff>
      <xdr:row>6</xdr:row>
      <xdr:rowOff>157480</xdr:rowOff>
    </xdr:from>
    <xdr:to>
      <xdr:col>12</xdr:col>
      <xdr:colOff>299720</xdr:colOff>
      <xdr:row>10</xdr:row>
      <xdr:rowOff>106680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69200" y="1254760"/>
          <a:ext cx="45720" cy="6807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10160</xdr:colOff>
      <xdr:row>8</xdr:row>
      <xdr:rowOff>121920</xdr:rowOff>
    </xdr:from>
    <xdr:to>
      <xdr:col>11</xdr:col>
      <xdr:colOff>147320</xdr:colOff>
      <xdr:row>9</xdr:row>
      <xdr:rowOff>91440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15760" y="1584960"/>
          <a:ext cx="137160" cy="152400"/>
        </a:xfrm>
        <a:prstGeom prst="ellipse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127233</xdr:colOff>
      <xdr:row>5</xdr:row>
      <xdr:rowOff>106680</xdr:rowOff>
    </xdr:from>
    <xdr:to>
      <xdr:col>13</xdr:col>
      <xdr:colOff>81280</xdr:colOff>
      <xdr:row>8</xdr:row>
      <xdr:rowOff>144238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4" idx="7"/>
        </xdr:cNvCxnSpPr>
      </xdr:nvCxnSpPr>
      <xdr:spPr>
        <a:xfrm flipV="1">
          <a:off x="6832833" y="1021080"/>
          <a:ext cx="1173247" cy="5861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25400</xdr:colOff>
      <xdr:row>7</xdr:row>
      <xdr:rowOff>25400</xdr:rowOff>
    </xdr:from>
    <xdr:to>
      <xdr:col>13</xdr:col>
      <xdr:colOff>162560</xdr:colOff>
      <xdr:row>7</xdr:row>
      <xdr:rowOff>177800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50200" y="1305560"/>
          <a:ext cx="137160" cy="1524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25400</xdr:colOff>
      <xdr:row>4</xdr:row>
      <xdr:rowOff>25400</xdr:rowOff>
    </xdr:from>
    <xdr:to>
      <xdr:col>13</xdr:col>
      <xdr:colOff>162560</xdr:colOff>
      <xdr:row>4</xdr:row>
      <xdr:rowOff>177800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950200" y="1305560"/>
          <a:ext cx="137160" cy="1524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161925</xdr:rowOff>
        </xdr:from>
        <xdr:to>
          <xdr:col>3</xdr:col>
          <xdr:colOff>585788</xdr:colOff>
          <xdr:row>55</xdr:row>
          <xdr:rowOff>176213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9AD1-94C7-4D67-8885-A1B6B027E04D}">
  <dimension ref="A1:N55"/>
  <sheetViews>
    <sheetView tabSelected="1" zoomScale="103" zoomScaleNormal="103" workbookViewId="0">
      <selection activeCell="N16" sqref="N16"/>
    </sheetView>
  </sheetViews>
  <sheetFormatPr defaultRowHeight="14.25" x14ac:dyDescent="0.45"/>
  <sheetData>
    <row r="1" spans="1:14" x14ac:dyDescent="0.45">
      <c r="A1" s="11" t="s">
        <v>0</v>
      </c>
    </row>
    <row r="2" spans="1:14" ht="14.65" thickBot="1" x14ac:dyDescent="0.5"/>
    <row r="3" spans="1:14" x14ac:dyDescent="0.45">
      <c r="A3" t="s">
        <v>1</v>
      </c>
      <c r="B3" s="19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7</v>
      </c>
    </row>
    <row r="4" spans="1:14" ht="14.65" thickBot="1" x14ac:dyDescent="0.5">
      <c r="B4" s="22">
        <v>1</v>
      </c>
      <c r="C4" s="23">
        <v>2</v>
      </c>
      <c r="D4" s="23">
        <v>3</v>
      </c>
      <c r="E4" s="23">
        <v>4</v>
      </c>
      <c r="F4" s="23">
        <v>5</v>
      </c>
      <c r="G4" s="24">
        <v>6</v>
      </c>
    </row>
    <row r="5" spans="1:14" x14ac:dyDescent="0.45">
      <c r="N5" t="s">
        <v>38</v>
      </c>
    </row>
    <row r="6" spans="1:14" x14ac:dyDescent="0.45">
      <c r="A6" s="1" t="s">
        <v>8</v>
      </c>
    </row>
    <row r="7" spans="1:14" x14ac:dyDescent="0.45">
      <c r="A7" s="2" t="s">
        <v>9</v>
      </c>
    </row>
    <row r="8" spans="1:14" x14ac:dyDescent="0.45">
      <c r="A8" s="8" t="s">
        <v>35</v>
      </c>
      <c r="B8" s="28" t="s">
        <v>10</v>
      </c>
      <c r="N8" t="s">
        <v>37</v>
      </c>
    </row>
    <row r="9" spans="1:14" x14ac:dyDescent="0.45">
      <c r="A9" s="9" t="s">
        <v>35</v>
      </c>
      <c r="B9" s="29" t="s">
        <v>11</v>
      </c>
      <c r="C9" s="10"/>
      <c r="D9" s="10"/>
      <c r="E9" s="10"/>
      <c r="F9" s="10"/>
      <c r="G9" s="10"/>
      <c r="H9" s="10"/>
      <c r="I9" s="10"/>
      <c r="J9" s="10"/>
    </row>
    <row r="10" spans="1:14" x14ac:dyDescent="0.45">
      <c r="A10" s="8" t="s">
        <v>35</v>
      </c>
      <c r="B10" s="28" t="s">
        <v>12</v>
      </c>
      <c r="L10" s="70" t="s">
        <v>36</v>
      </c>
    </row>
    <row r="11" spans="1:14" x14ac:dyDescent="0.45">
      <c r="A11" s="9" t="s">
        <v>35</v>
      </c>
      <c r="B11" s="29" t="s">
        <v>13</v>
      </c>
      <c r="C11" s="10"/>
      <c r="D11" s="10"/>
      <c r="E11" s="10"/>
      <c r="F11" s="10"/>
    </row>
    <row r="12" spans="1:14" x14ac:dyDescent="0.45">
      <c r="A12" s="8" t="s">
        <v>35</v>
      </c>
      <c r="B12" s="28" t="s">
        <v>14</v>
      </c>
    </row>
    <row r="13" spans="1:14" x14ac:dyDescent="0.45">
      <c r="A13" s="9" t="s">
        <v>35</v>
      </c>
      <c r="B13" s="29" t="s">
        <v>15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5" spans="1:14" ht="15.75" x14ac:dyDescent="0.45">
      <c r="A15" s="3" t="s">
        <v>16</v>
      </c>
    </row>
    <row r="16" spans="1:14" x14ac:dyDescent="0.45">
      <c r="A16" s="2" t="s">
        <v>9</v>
      </c>
    </row>
    <row r="17" spans="1:14" x14ac:dyDescent="0.45">
      <c r="A17" s="8" t="s">
        <v>35</v>
      </c>
      <c r="B17" s="28" t="s">
        <v>17</v>
      </c>
    </row>
    <row r="18" spans="1:14" x14ac:dyDescent="0.45">
      <c r="A18" s="8" t="s">
        <v>35</v>
      </c>
      <c r="B18" s="28" t="s">
        <v>18</v>
      </c>
    </row>
    <row r="19" spans="1:14" x14ac:dyDescent="0.45">
      <c r="A19" s="9" t="s">
        <v>35</v>
      </c>
      <c r="B19" s="29" t="s">
        <v>19</v>
      </c>
      <c r="C19" s="10"/>
      <c r="D19" s="10"/>
      <c r="E19" s="10"/>
      <c r="F19" s="10"/>
      <c r="G19" s="10"/>
      <c r="H19" s="10"/>
      <c r="I19" s="10"/>
      <c r="J19" s="10"/>
      <c r="K19" s="10"/>
    </row>
    <row r="20" spans="1:14" x14ac:dyDescent="0.45">
      <c r="A20" s="8" t="s">
        <v>35</v>
      </c>
      <c r="B20" s="28" t="s">
        <v>20</v>
      </c>
    </row>
    <row r="21" spans="1:14" x14ac:dyDescent="0.45">
      <c r="A21" s="9" t="s">
        <v>35</v>
      </c>
      <c r="B21" s="29" t="s">
        <v>21</v>
      </c>
      <c r="C21" s="10"/>
      <c r="D21" s="10"/>
      <c r="E21" s="10"/>
      <c r="F21" s="10"/>
      <c r="G21" s="10"/>
      <c r="H21" s="10"/>
      <c r="I21" s="10"/>
      <c r="J21" s="10"/>
      <c r="K21" s="10"/>
    </row>
    <row r="23" spans="1:14" ht="15.75" x14ac:dyDescent="0.45">
      <c r="A23" s="3" t="s">
        <v>22</v>
      </c>
    </row>
    <row r="24" spans="1:14" x14ac:dyDescent="0.45">
      <c r="A24" s="4" t="s">
        <v>23</v>
      </c>
    </row>
    <row r="25" spans="1:14" ht="15.75" x14ac:dyDescent="0.5">
      <c r="A25" s="26" t="s">
        <v>138</v>
      </c>
      <c r="B25" s="28" t="s">
        <v>24</v>
      </c>
      <c r="K25" s="25" t="s">
        <v>138</v>
      </c>
    </row>
    <row r="26" spans="1:14" ht="15.75" x14ac:dyDescent="0.5">
      <c r="A26" s="26" t="s">
        <v>138</v>
      </c>
      <c r="B26" s="28" t="s">
        <v>25</v>
      </c>
    </row>
    <row r="27" spans="1:14" ht="15.75" x14ac:dyDescent="0.5">
      <c r="A27" s="26" t="s">
        <v>138</v>
      </c>
      <c r="B27" s="28" t="s">
        <v>26</v>
      </c>
    </row>
    <row r="28" spans="1:14" ht="15.75" x14ac:dyDescent="0.5">
      <c r="A28" s="27" t="s">
        <v>138</v>
      </c>
      <c r="B28" s="29" t="s">
        <v>27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15.75" x14ac:dyDescent="0.5">
      <c r="A29" s="26" t="s">
        <v>138</v>
      </c>
      <c r="B29" s="28" t="s">
        <v>28</v>
      </c>
    </row>
    <row r="30" spans="1:14" ht="15.75" x14ac:dyDescent="0.5">
      <c r="A30" s="26" t="s">
        <v>138</v>
      </c>
      <c r="B30" s="28" t="s">
        <v>29</v>
      </c>
      <c r="J30" s="11" t="s">
        <v>39</v>
      </c>
    </row>
    <row r="32" spans="1:14" x14ac:dyDescent="0.45">
      <c r="A32" s="3" t="s">
        <v>42</v>
      </c>
    </row>
    <row r="33" spans="1:14" ht="14.65" thickBot="1" x14ac:dyDescent="0.5">
      <c r="A33" s="6" t="s">
        <v>30</v>
      </c>
    </row>
    <row r="34" spans="1:14" ht="14.65" thickBot="1" x14ac:dyDescent="0.5">
      <c r="A34" s="6" t="s">
        <v>40</v>
      </c>
      <c r="B34">
        <f>60+D</f>
        <v>64</v>
      </c>
      <c r="C34" t="s">
        <v>41</v>
      </c>
      <c r="D34" t="s">
        <v>43</v>
      </c>
      <c r="E34">
        <f>Lrev-6</f>
        <v>58</v>
      </c>
      <c r="F34" t="s">
        <v>41</v>
      </c>
      <c r="G34" t="s">
        <v>44</v>
      </c>
      <c r="L34" s="12">
        <f>10*LOG10(10^(Lrev/10)+10^(Ldir/10))</f>
        <v>64.973227937086961</v>
      </c>
      <c r="M34" s="13" t="s">
        <v>41</v>
      </c>
      <c r="N34" s="42">
        <f>L34-Lrev</f>
        <v>0.97322793708696054</v>
      </c>
    </row>
    <row r="35" spans="1:14" x14ac:dyDescent="0.45">
      <c r="A35" s="5"/>
    </row>
    <row r="36" spans="1:14" x14ac:dyDescent="0.45">
      <c r="A36" s="6" t="s">
        <v>31</v>
      </c>
    </row>
    <row r="37" spans="1:14" x14ac:dyDescent="0.45">
      <c r="A37" s="6" t="s">
        <v>30</v>
      </c>
    </row>
    <row r="38" spans="1:14" ht="14.65" thickBot="1" x14ac:dyDescent="0.5">
      <c r="A38" s="6" t="s">
        <v>45</v>
      </c>
      <c r="B38">
        <f>88+F</f>
        <v>94</v>
      </c>
      <c r="C38" t="s">
        <v>46</v>
      </c>
      <c r="D38" s="14" t="s">
        <v>47</v>
      </c>
      <c r="E38">
        <f>10+E</f>
        <v>15</v>
      </c>
      <c r="F38" t="s">
        <v>48</v>
      </c>
      <c r="G38" t="s">
        <v>49</v>
      </c>
    </row>
    <row r="39" spans="1:14" ht="14.65" thickBot="1" x14ac:dyDescent="0.5">
      <c r="A39" s="6" t="s">
        <v>50</v>
      </c>
      <c r="B39">
        <v>2</v>
      </c>
      <c r="D39" s="15" t="s">
        <v>51</v>
      </c>
      <c r="I39" s="12">
        <f>SPL+11+20*LOG10(dd)-10*LOG10(Q)</f>
        <v>125.51152522447381</v>
      </c>
      <c r="J39" s="13" t="s">
        <v>46</v>
      </c>
    </row>
    <row r="40" spans="1:14" x14ac:dyDescent="0.45">
      <c r="A40" s="5"/>
    </row>
    <row r="41" spans="1:14" x14ac:dyDescent="0.45">
      <c r="A41" s="6" t="s">
        <v>32</v>
      </c>
    </row>
    <row r="42" spans="1:14" x14ac:dyDescent="0.45">
      <c r="A42" s="6" t="s">
        <v>30</v>
      </c>
    </row>
    <row r="43" spans="1:14" ht="14.65" thickBot="1" x14ac:dyDescent="0.5">
      <c r="A43" s="6" t="s">
        <v>52</v>
      </c>
      <c r="D43" t="s">
        <v>53</v>
      </c>
      <c r="E43">
        <f>2+E/10</f>
        <v>2.5</v>
      </c>
      <c r="F43" t="s">
        <v>54</v>
      </c>
      <c r="G43" t="s">
        <v>55</v>
      </c>
      <c r="H43">
        <f>300+D*20</f>
        <v>380</v>
      </c>
      <c r="I43" t="s">
        <v>56</v>
      </c>
      <c r="J43" t="s">
        <v>57</v>
      </c>
      <c r="L43">
        <f>0.16*V/T</f>
        <v>24.32</v>
      </c>
      <c r="M43" t="s">
        <v>58</v>
      </c>
    </row>
    <row r="44" spans="1:14" ht="14.65" thickBot="1" x14ac:dyDescent="0.5">
      <c r="A44" s="6" t="s">
        <v>59</v>
      </c>
      <c r="D44" s="12">
        <f>SPL-10*LOG10(4/AA)</f>
        <v>101.83903579272734</v>
      </c>
      <c r="E44" s="13" t="s">
        <v>46</v>
      </c>
    </row>
    <row r="45" spans="1:14" x14ac:dyDescent="0.45">
      <c r="A45" s="5"/>
    </row>
    <row r="46" spans="1:14" x14ac:dyDescent="0.45">
      <c r="A46" s="6" t="s">
        <v>33</v>
      </c>
    </row>
    <row r="47" spans="1:14" ht="14.65" thickBot="1" x14ac:dyDescent="0.5">
      <c r="A47" s="6" t="s">
        <v>30</v>
      </c>
    </row>
    <row r="48" spans="1:14" ht="14.65" thickBot="1" x14ac:dyDescent="0.5">
      <c r="A48" s="6" t="s">
        <v>60</v>
      </c>
      <c r="D48" s="12">
        <f>SPL+3</f>
        <v>97</v>
      </c>
      <c r="E48" s="13" t="s">
        <v>46</v>
      </c>
    </row>
    <row r="49" spans="1:6" x14ac:dyDescent="0.45">
      <c r="A49" s="7"/>
    </row>
    <row r="50" spans="1:6" x14ac:dyDescent="0.45">
      <c r="A50" s="3" t="s">
        <v>34</v>
      </c>
    </row>
    <row r="51" spans="1:6" x14ac:dyDescent="0.45">
      <c r="A51" s="6" t="s">
        <v>30</v>
      </c>
    </row>
    <row r="52" spans="1:6" x14ac:dyDescent="0.45">
      <c r="A52" s="6" t="s">
        <v>50</v>
      </c>
      <c r="B52">
        <f>3+F/3</f>
        <v>5</v>
      </c>
    </row>
    <row r="54" spans="1:6" ht="14.65" thickBot="1" x14ac:dyDescent="0.5"/>
    <row r="55" spans="1:6" ht="14.65" thickBot="1" x14ac:dyDescent="0.5">
      <c r="E55" s="16">
        <f>SQRT(QQ*V/(100*PI()*T))</f>
        <v>1.5553633450087503</v>
      </c>
      <c r="F55" s="17" t="s">
        <v>48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0</xdr:col>
                <xdr:colOff>38100</xdr:colOff>
                <xdr:row>52</xdr:row>
                <xdr:rowOff>161925</xdr:rowOff>
              </from>
              <to>
                <xdr:col>3</xdr:col>
                <xdr:colOff>585788</xdr:colOff>
                <xdr:row>55</xdr:row>
                <xdr:rowOff>176213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9D00-AEC4-4F7D-A809-E90713478056}">
  <sheetPr>
    <outlinePr summaryBelow="0" summaryRight="0"/>
  </sheetPr>
  <dimension ref="A1:AV11"/>
  <sheetViews>
    <sheetView workbookViewId="0">
      <pane ySplit="1" topLeftCell="A2" activePane="bottomLeft" state="frozen"/>
      <selection pane="bottomLeft"/>
    </sheetView>
  </sheetViews>
  <sheetFormatPr defaultColWidth="12.59765625" defaultRowHeight="15.75" customHeight="1" x14ac:dyDescent="0.4"/>
  <cols>
    <col min="1" max="1" width="3.9296875" style="30" customWidth="1"/>
    <col min="2" max="2" width="15.796875" style="18" customWidth="1"/>
    <col min="3" max="3" width="29.6640625" style="18" customWidth="1"/>
    <col min="4" max="4" width="16.46484375" style="18" customWidth="1"/>
    <col min="5" max="5" width="9.33203125" style="30" customWidth="1"/>
    <col min="6" max="11" width="2.86328125" style="18" customWidth="1"/>
    <col min="12" max="12" width="18.86328125" style="18" customWidth="1"/>
    <col min="13" max="18" width="2.6640625" style="18" customWidth="1"/>
    <col min="19" max="19" width="18.86328125" style="18" customWidth="1"/>
    <col min="20" max="24" width="3.33203125" style="18" customWidth="1"/>
    <col min="25" max="25" width="18.86328125" style="18" customWidth="1"/>
    <col min="26" max="26" width="4.46484375" style="18" customWidth="1"/>
    <col min="27" max="27" width="7.19921875" style="18" customWidth="1"/>
    <col min="28" max="28" width="7.86328125" style="18" customWidth="1"/>
    <col min="29" max="29" width="6.9296875" style="18" customWidth="1"/>
    <col min="30" max="30" width="5.9296875" style="18" customWidth="1"/>
    <col min="31" max="31" width="14.53125" style="18" customWidth="1"/>
    <col min="32" max="32" width="8.1328125" style="18" customWidth="1"/>
    <col min="33" max="33" width="6.86328125" style="18" customWidth="1"/>
    <col min="34" max="34" width="6.33203125" style="18" customWidth="1"/>
    <col min="35" max="35" width="23.46484375" style="18" customWidth="1"/>
    <col min="36" max="36" width="8.19921875" style="18" customWidth="1"/>
    <col min="37" max="37" width="6.3984375" style="18" customWidth="1"/>
    <col min="38" max="38" width="6.265625" style="18" customWidth="1"/>
    <col min="39" max="39" width="15.1328125" style="18" customWidth="1"/>
    <col min="40" max="40" width="8.06640625" style="18" customWidth="1"/>
    <col min="41" max="42" width="6.796875" style="18" customWidth="1"/>
    <col min="43" max="43" width="13.796875" style="18" customWidth="1"/>
    <col min="44" max="44" width="7.19921875" style="18" customWidth="1"/>
    <col min="45" max="45" width="6.86328125" style="18" customWidth="1"/>
    <col min="46" max="46" width="5.796875" style="18" customWidth="1"/>
    <col min="47" max="47" width="8.1328125" style="18" customWidth="1"/>
    <col min="48" max="49" width="18.86328125" style="18" customWidth="1"/>
    <col min="50" max="16384" width="12.59765625" style="18"/>
  </cols>
  <sheetData>
    <row r="1" spans="1:48" ht="15.75" customHeight="1" thickTop="1" x14ac:dyDescent="0.45">
      <c r="A1" s="44" t="s">
        <v>139</v>
      </c>
      <c r="B1" s="36" t="s">
        <v>137</v>
      </c>
      <c r="C1" s="35" t="s">
        <v>136</v>
      </c>
      <c r="D1" s="35" t="s">
        <v>135</v>
      </c>
      <c r="E1" s="36" t="s">
        <v>134</v>
      </c>
      <c r="F1" s="31" t="s">
        <v>2</v>
      </c>
      <c r="G1" s="31" t="s">
        <v>3</v>
      </c>
      <c r="H1" s="31" t="s">
        <v>4</v>
      </c>
      <c r="I1" s="31" t="s">
        <v>5</v>
      </c>
      <c r="J1" s="31" t="s">
        <v>6</v>
      </c>
      <c r="K1" s="31" t="s">
        <v>7</v>
      </c>
      <c r="L1" s="35" t="s">
        <v>133</v>
      </c>
      <c r="M1" s="36">
        <v>-1</v>
      </c>
      <c r="N1" s="36">
        <v>1</v>
      </c>
      <c r="O1" s="36">
        <v>-1</v>
      </c>
      <c r="P1" s="36">
        <v>1</v>
      </c>
      <c r="Q1" s="36">
        <v>-1</v>
      </c>
      <c r="R1" s="36">
        <v>1</v>
      </c>
      <c r="S1" s="35" t="s">
        <v>132</v>
      </c>
      <c r="T1" s="35">
        <v>-1</v>
      </c>
      <c r="U1" s="35">
        <v>-1</v>
      </c>
      <c r="V1" s="35">
        <v>1</v>
      </c>
      <c r="W1" s="35">
        <v>0</v>
      </c>
      <c r="X1" s="35">
        <v>1</v>
      </c>
      <c r="Y1" s="35" t="s">
        <v>131</v>
      </c>
      <c r="Z1" s="36" t="s">
        <v>140</v>
      </c>
      <c r="AA1" s="35" t="s">
        <v>130</v>
      </c>
      <c r="AB1" s="37" t="s">
        <v>141</v>
      </c>
      <c r="AC1" s="38" t="s">
        <v>142</v>
      </c>
      <c r="AD1" s="39" t="s">
        <v>140</v>
      </c>
      <c r="AE1" s="35" t="s">
        <v>129</v>
      </c>
      <c r="AF1" s="37" t="s">
        <v>141</v>
      </c>
      <c r="AG1" s="38" t="s">
        <v>142</v>
      </c>
      <c r="AH1" s="39" t="s">
        <v>140</v>
      </c>
      <c r="AI1" s="35" t="s">
        <v>128</v>
      </c>
      <c r="AJ1" s="37" t="s">
        <v>141</v>
      </c>
      <c r="AK1" s="38" t="s">
        <v>142</v>
      </c>
      <c r="AL1" s="39" t="s">
        <v>140</v>
      </c>
      <c r="AM1" s="35" t="s">
        <v>127</v>
      </c>
      <c r="AN1" s="37" t="s">
        <v>141</v>
      </c>
      <c r="AO1" s="38" t="s">
        <v>142</v>
      </c>
      <c r="AP1" s="39" t="s">
        <v>140</v>
      </c>
      <c r="AQ1" s="35" t="s">
        <v>126</v>
      </c>
      <c r="AR1" s="37" t="s">
        <v>141</v>
      </c>
      <c r="AS1" s="38" t="s">
        <v>142</v>
      </c>
      <c r="AT1" s="39" t="s">
        <v>140</v>
      </c>
      <c r="AU1" s="43" t="s">
        <v>145</v>
      </c>
      <c r="AV1" s="45" t="s">
        <v>144</v>
      </c>
    </row>
    <row r="2" spans="1:48" ht="15.75" customHeight="1" x14ac:dyDescent="0.45">
      <c r="A2" s="46">
        <v>1</v>
      </c>
      <c r="B2" s="47">
        <v>44858.400464236111</v>
      </c>
      <c r="C2" s="48" t="s">
        <v>125</v>
      </c>
      <c r="D2" s="48" t="s">
        <v>124</v>
      </c>
      <c r="E2" s="49">
        <v>342593</v>
      </c>
      <c r="F2" s="32">
        <f t="shared" ref="F2:F10" si="0">INT(E2/100000)</f>
        <v>3</v>
      </c>
      <c r="G2" s="32">
        <f t="shared" ref="G2:G10" si="1">INT(($E2-100000*F2)/10000)</f>
        <v>4</v>
      </c>
      <c r="H2" s="32">
        <f t="shared" ref="H2:H10" si="2">INT(($E2-100000*F2-10000*G2)/1000)</f>
        <v>2</v>
      </c>
      <c r="I2" s="32">
        <f t="shared" ref="I2:I10" si="3">INT(($E2-100000*$F2-10000*$G2-1000*$H2)/100)</f>
        <v>5</v>
      </c>
      <c r="J2" s="32">
        <f t="shared" ref="J2:J10" si="4">INT(($E2-100000*$F2-10000*$G2-1000*$H2-100*$I2)/10)</f>
        <v>9</v>
      </c>
      <c r="K2" s="32">
        <f t="shared" ref="K2:K10" si="5">INT(($E2-100000*$F2-10000*$G2-1000*$H2-100*$I2-10*$J2))</f>
        <v>3</v>
      </c>
      <c r="L2" s="48" t="s">
        <v>123</v>
      </c>
      <c r="M2" s="34">
        <f>IF(ISERROR(FIND("Air absorption",L2,1)),0,M$1)</f>
        <v>0</v>
      </c>
      <c r="N2" s="34">
        <f>IF(ISERROR(FIND("Geometrical divergence",L2,1)),0,N$1)</f>
        <v>0</v>
      </c>
      <c r="O2" s="34">
        <f>IF(ISERROR(FIND("excess attenuation",L2,1)),0,O$1)</f>
        <v>-1</v>
      </c>
      <c r="P2" s="34">
        <f>IF(ISERROR(FIND("atmospheric effects can increase the SPL",L2,1)),0,P$1)</f>
        <v>0</v>
      </c>
      <c r="Q2" s="34">
        <f>IF(ISERROR(FIND("A sound barrier provides sound attenuation only for receivers",L2,1)),0,Q$1)</f>
        <v>0</v>
      </c>
      <c r="R2" s="34">
        <f>IF(ISERROR(FIND("A sound barrier provides sound attenuation also for receivers outside",L2,1)),0,R$1)</f>
        <v>1</v>
      </c>
      <c r="S2" s="48" t="s">
        <v>122</v>
      </c>
      <c r="T2" s="34">
        <f>IF(ISERROR(FIND("A directive sound source always produces an increase of the SPL compared with an omnidirectional source",S2,1)),0,T$1)</f>
        <v>-1</v>
      </c>
      <c r="U2" s="34">
        <f>IF(ISERROR(FIND("A directive sound source radiates sound only on a portion of the sphere",S2,1)),0,U$1)</f>
        <v>-1</v>
      </c>
      <c r="V2" s="34">
        <f>IF(ISERROR(FIND("A directive sound source boosts the level in some directions",S2,1)),0,V$1)</f>
        <v>0</v>
      </c>
      <c r="W2" s="34">
        <f>IF(ISERROR(FIND("Only spherical sources can be directive",S2,1)),0,W$1)</f>
        <v>0</v>
      </c>
      <c r="X2" s="34">
        <f>IF(ISERROR(FIND("A directive sound source can increase significantly the critical distance",S2,1)),0,X$1)</f>
        <v>1</v>
      </c>
      <c r="Y2" s="48" t="s">
        <v>27</v>
      </c>
      <c r="Z2" s="34">
        <v>1</v>
      </c>
      <c r="AA2" s="48" t="s">
        <v>121</v>
      </c>
      <c r="AB2" s="40">
        <f>60+I2+0.973</f>
        <v>65.972999999999999</v>
      </c>
      <c r="AC2" s="41" t="s">
        <v>41</v>
      </c>
      <c r="AD2" s="34">
        <v>-1</v>
      </c>
      <c r="AE2" s="48" t="s">
        <v>120</v>
      </c>
      <c r="AF2" s="40">
        <f>88+K2+8+20*LOG10(10+J2)</f>
        <v>124.57507201905658</v>
      </c>
      <c r="AG2" s="41" t="s">
        <v>46</v>
      </c>
      <c r="AH2" s="34">
        <v>1</v>
      </c>
      <c r="AI2" s="48" t="s">
        <v>119</v>
      </c>
      <c r="AJ2" s="40">
        <f>88+K2-10*LOG10(4/(0.16*(300+I2*20)/(2+J2/10)))</f>
        <v>98.417219847569683</v>
      </c>
      <c r="AK2" s="41" t="s">
        <v>46</v>
      </c>
      <c r="AL2" s="34">
        <v>1</v>
      </c>
      <c r="AM2" s="48" t="s">
        <v>118</v>
      </c>
      <c r="AN2" s="40">
        <f>88+K2+3</f>
        <v>94</v>
      </c>
      <c r="AO2" s="41" t="s">
        <v>46</v>
      </c>
      <c r="AP2" s="34">
        <v>1</v>
      </c>
      <c r="AQ2" s="48" t="s">
        <v>117</v>
      </c>
      <c r="AR2" s="65">
        <f>SQRT((3+K2/3)*(300+I2*20)/(2+J2/10)/100/PI())</f>
        <v>1.3252141243952904</v>
      </c>
      <c r="AS2" s="41" t="s">
        <v>48</v>
      </c>
      <c r="AT2" s="34">
        <v>1</v>
      </c>
      <c r="AU2" s="67">
        <f>SUM(M2:R2)+SUM(T2:X2)+Z2+AD2+AH2+AL2+AP2+AT2</f>
        <v>3</v>
      </c>
      <c r="AV2" s="51"/>
    </row>
    <row r="3" spans="1:48" ht="15.75" customHeight="1" x14ac:dyDescent="0.45">
      <c r="A3" s="46">
        <v>2</v>
      </c>
      <c r="B3" s="47">
        <v>44858.401738958331</v>
      </c>
      <c r="C3" s="48" t="s">
        <v>116</v>
      </c>
      <c r="D3" s="48" t="s">
        <v>115</v>
      </c>
      <c r="E3" s="49">
        <v>350971</v>
      </c>
      <c r="F3" s="32">
        <f t="shared" si="0"/>
        <v>3</v>
      </c>
      <c r="G3" s="32">
        <f t="shared" si="1"/>
        <v>5</v>
      </c>
      <c r="H3" s="32">
        <f t="shared" si="2"/>
        <v>0</v>
      </c>
      <c r="I3" s="32">
        <f t="shared" si="3"/>
        <v>9</v>
      </c>
      <c r="J3" s="32">
        <f t="shared" si="4"/>
        <v>7</v>
      </c>
      <c r="K3" s="32">
        <f t="shared" si="5"/>
        <v>1</v>
      </c>
      <c r="L3" s="48" t="s">
        <v>114</v>
      </c>
      <c r="M3" s="34">
        <f t="shared" ref="M3:M10" si="6">IF(ISERROR(FIND("Air absorption",L3,1)),0,M$1)</f>
        <v>0</v>
      </c>
      <c r="N3" s="34">
        <f t="shared" ref="N3:N10" si="7">IF(ISERROR(FIND("Geometrical divergence",L3,1)),0,N$1)</f>
        <v>0</v>
      </c>
      <c r="O3" s="34">
        <f t="shared" ref="O3:O10" si="8">IF(ISERROR(FIND("excess attenuation",L3,1)),0,O$1)</f>
        <v>0</v>
      </c>
      <c r="P3" s="34">
        <f t="shared" ref="P3:P10" si="9">IF(ISERROR(FIND("atmospheric effects can increase the SPL",L3,1)),0,P$1)</f>
        <v>1</v>
      </c>
      <c r="Q3" s="34">
        <f t="shared" ref="Q3:Q10" si="10">IF(ISERROR(FIND("A sound barrier provides sound attenuation only for receivers",L3,1)),0,Q$1)</f>
        <v>0</v>
      </c>
      <c r="R3" s="34">
        <f t="shared" ref="R3:R10" si="11">IF(ISERROR(FIND("A sound barrier provides sound attenuation also for receivers outside",L3,1)),0,R$1)</f>
        <v>1</v>
      </c>
      <c r="S3" s="48" t="s">
        <v>21</v>
      </c>
      <c r="T3" s="34">
        <f t="shared" ref="T3:T10" si="12">IF(ISERROR(FIND("A directive sound source always produces an increase of the SPL compared with an omnidirectional source",S3,1)),0,T$1)</f>
        <v>0</v>
      </c>
      <c r="U3" s="34">
        <f t="shared" ref="U3:U10" si="13">IF(ISERROR(FIND("A directive sound source radiates sound only on a portion of the sphere",S3,1)),0,U$1)</f>
        <v>0</v>
      </c>
      <c r="V3" s="34">
        <f t="shared" ref="V3:V10" si="14">IF(ISERROR(FIND("A directive sound source boosts the level in some directions",S3,1)),0,V$1)</f>
        <v>0</v>
      </c>
      <c r="W3" s="34">
        <f t="shared" ref="W3:W10" si="15">IF(ISERROR(FIND("Only spherical sources can be directive",S3,1)),0,W$1)</f>
        <v>0</v>
      </c>
      <c r="X3" s="34">
        <f t="shared" ref="X3:X10" si="16">IF(ISERROR(FIND("A directive sound source can increase significantly the critical distance",S3,1)),0,X$1)</f>
        <v>1</v>
      </c>
      <c r="Y3" s="48" t="s">
        <v>28</v>
      </c>
      <c r="Z3" s="34">
        <v>-1</v>
      </c>
      <c r="AA3" s="48" t="s">
        <v>113</v>
      </c>
      <c r="AB3" s="40">
        <f t="shared" ref="AB3:AB10" si="17">60+I3+0.973</f>
        <v>69.972999999999999</v>
      </c>
      <c r="AC3" s="41" t="s">
        <v>41</v>
      </c>
      <c r="AD3" s="34">
        <v>-1</v>
      </c>
      <c r="AE3" s="48" t="s">
        <v>112</v>
      </c>
      <c r="AF3" s="40">
        <f t="shared" ref="AF3:AF10" si="18">88+K3+8+20*LOG10(10+J3)</f>
        <v>121.60897842756548</v>
      </c>
      <c r="AG3" s="41" t="s">
        <v>46</v>
      </c>
      <c r="AH3" s="34">
        <v>-1</v>
      </c>
      <c r="AI3" s="48" t="s">
        <v>111</v>
      </c>
      <c r="AJ3" s="40">
        <f t="shared" ref="AJ3:AJ10" si="19">88+K3-10*LOG10(4/(0.16*(300+I3*20)/(2+J3/10)))</f>
        <v>97.519374645445623</v>
      </c>
      <c r="AK3" s="41" t="s">
        <v>46</v>
      </c>
      <c r="AL3" s="34">
        <v>1</v>
      </c>
      <c r="AM3" s="48" t="s">
        <v>110</v>
      </c>
      <c r="AN3" s="40">
        <f t="shared" ref="AN3:AN10" si="20">88+K3+3</f>
        <v>92</v>
      </c>
      <c r="AO3" s="41" t="s">
        <v>46</v>
      </c>
      <c r="AP3" s="34">
        <v>-1</v>
      </c>
      <c r="AQ3" s="48" t="s">
        <v>109</v>
      </c>
      <c r="AR3" s="65">
        <f t="shared" ref="AR3:AR10" si="21">SQRT((3+K3/3)*(300+I3*20)/(2+J3/10)/100/PI())</f>
        <v>1.3734193849713408</v>
      </c>
      <c r="AS3" s="41" t="s">
        <v>48</v>
      </c>
      <c r="AT3" s="34">
        <v>1</v>
      </c>
      <c r="AU3" s="67">
        <f t="shared" ref="AU3:AU10" si="22">SUM(M3:R3)+SUM(T3:X3)+Z3+AD3+AH3+AL3+AP3+AT3</f>
        <v>1</v>
      </c>
      <c r="AV3" s="51"/>
    </row>
    <row r="4" spans="1:48" ht="15.75" customHeight="1" x14ac:dyDescent="0.45">
      <c r="A4" s="46">
        <v>3</v>
      </c>
      <c r="B4" s="47">
        <v>44858.401852442126</v>
      </c>
      <c r="C4" s="48" t="s">
        <v>108</v>
      </c>
      <c r="D4" s="48" t="s">
        <v>107</v>
      </c>
      <c r="E4" s="49">
        <v>333808</v>
      </c>
      <c r="F4" s="32">
        <f t="shared" si="0"/>
        <v>3</v>
      </c>
      <c r="G4" s="32">
        <f t="shared" si="1"/>
        <v>3</v>
      </c>
      <c r="H4" s="32">
        <f t="shared" si="2"/>
        <v>3</v>
      </c>
      <c r="I4" s="32">
        <f t="shared" si="3"/>
        <v>8</v>
      </c>
      <c r="J4" s="32">
        <f t="shared" si="4"/>
        <v>0</v>
      </c>
      <c r="K4" s="32">
        <f t="shared" si="5"/>
        <v>8</v>
      </c>
      <c r="L4" s="48" t="s">
        <v>106</v>
      </c>
      <c r="M4" s="34">
        <f t="shared" si="6"/>
        <v>-1</v>
      </c>
      <c r="N4" s="34">
        <f t="shared" si="7"/>
        <v>0</v>
      </c>
      <c r="O4" s="34">
        <f t="shared" si="8"/>
        <v>0</v>
      </c>
      <c r="P4" s="34">
        <f t="shared" si="9"/>
        <v>1</v>
      </c>
      <c r="Q4" s="34">
        <f t="shared" si="10"/>
        <v>-1</v>
      </c>
      <c r="R4" s="34">
        <f t="shared" si="11"/>
        <v>0</v>
      </c>
      <c r="S4" s="48" t="s">
        <v>98</v>
      </c>
      <c r="T4" s="34">
        <f t="shared" si="12"/>
        <v>0</v>
      </c>
      <c r="U4" s="34">
        <f t="shared" si="13"/>
        <v>-1</v>
      </c>
      <c r="V4" s="34">
        <f t="shared" si="14"/>
        <v>1</v>
      </c>
      <c r="W4" s="34">
        <f t="shared" si="15"/>
        <v>0</v>
      </c>
      <c r="X4" s="34">
        <f t="shared" si="16"/>
        <v>1</v>
      </c>
      <c r="Y4" s="48" t="s">
        <v>27</v>
      </c>
      <c r="Z4" s="34">
        <v>1</v>
      </c>
      <c r="AA4" s="48" t="s">
        <v>105</v>
      </c>
      <c r="AB4" s="40">
        <f t="shared" si="17"/>
        <v>68.972999999999999</v>
      </c>
      <c r="AC4" s="41" t="s">
        <v>41</v>
      </c>
      <c r="AD4" s="34">
        <v>1</v>
      </c>
      <c r="AE4" s="48" t="s">
        <v>104</v>
      </c>
      <c r="AF4" s="40">
        <f t="shared" si="18"/>
        <v>124</v>
      </c>
      <c r="AG4" s="41" t="s">
        <v>46</v>
      </c>
      <c r="AH4" s="34">
        <v>1</v>
      </c>
      <c r="AI4" s="48" t="s">
        <v>103</v>
      </c>
      <c r="AJ4" s="40">
        <f t="shared" si="19"/>
        <v>105.63787827345556</v>
      </c>
      <c r="AK4" s="41" t="s">
        <v>46</v>
      </c>
      <c r="AL4" s="34">
        <v>1</v>
      </c>
      <c r="AM4" s="48" t="s">
        <v>102</v>
      </c>
      <c r="AN4" s="40">
        <f t="shared" si="20"/>
        <v>99</v>
      </c>
      <c r="AO4" s="41" t="s">
        <v>46</v>
      </c>
      <c r="AP4" s="34">
        <v>1</v>
      </c>
      <c r="AQ4" s="48" t="s">
        <v>101</v>
      </c>
      <c r="AR4" s="65">
        <f t="shared" si="21"/>
        <v>2.0368207702026062</v>
      </c>
      <c r="AS4" s="41" t="s">
        <v>48</v>
      </c>
      <c r="AT4" s="34">
        <v>1</v>
      </c>
      <c r="AU4" s="67">
        <f t="shared" si="22"/>
        <v>6</v>
      </c>
      <c r="AV4" s="51"/>
    </row>
    <row r="5" spans="1:48" ht="15.75" customHeight="1" x14ac:dyDescent="0.45">
      <c r="A5" s="46">
        <v>4</v>
      </c>
      <c r="B5" s="47">
        <v>44858.402441273152</v>
      </c>
      <c r="C5" s="48" t="s">
        <v>100</v>
      </c>
      <c r="D5" s="48" t="s">
        <v>99</v>
      </c>
      <c r="E5" s="49">
        <v>330937</v>
      </c>
      <c r="F5" s="32">
        <f t="shared" si="0"/>
        <v>3</v>
      </c>
      <c r="G5" s="32">
        <f t="shared" si="1"/>
        <v>3</v>
      </c>
      <c r="H5" s="32">
        <f t="shared" si="2"/>
        <v>0</v>
      </c>
      <c r="I5" s="32">
        <f t="shared" si="3"/>
        <v>9</v>
      </c>
      <c r="J5" s="32">
        <f t="shared" si="4"/>
        <v>3</v>
      </c>
      <c r="K5" s="32">
        <f t="shared" si="5"/>
        <v>7</v>
      </c>
      <c r="L5" s="48" t="s">
        <v>10</v>
      </c>
      <c r="M5" s="34">
        <f t="shared" si="6"/>
        <v>-1</v>
      </c>
      <c r="N5" s="34">
        <f t="shared" si="7"/>
        <v>0</v>
      </c>
      <c r="O5" s="34">
        <f t="shared" si="8"/>
        <v>0</v>
      </c>
      <c r="P5" s="34">
        <f t="shared" si="9"/>
        <v>0</v>
      </c>
      <c r="Q5" s="34">
        <f t="shared" si="10"/>
        <v>0</v>
      </c>
      <c r="R5" s="34">
        <f t="shared" si="11"/>
        <v>0</v>
      </c>
      <c r="S5" s="48" t="s">
        <v>98</v>
      </c>
      <c r="T5" s="34">
        <f t="shared" si="12"/>
        <v>0</v>
      </c>
      <c r="U5" s="34">
        <f t="shared" si="13"/>
        <v>-1</v>
      </c>
      <c r="V5" s="34">
        <f t="shared" si="14"/>
        <v>1</v>
      </c>
      <c r="W5" s="34">
        <f t="shared" si="15"/>
        <v>0</v>
      </c>
      <c r="X5" s="34">
        <f t="shared" si="16"/>
        <v>1</v>
      </c>
      <c r="Y5" s="48" t="s">
        <v>26</v>
      </c>
      <c r="Z5" s="34">
        <v>-1</v>
      </c>
      <c r="AA5" s="50"/>
      <c r="AB5" s="40">
        <f t="shared" si="17"/>
        <v>69.972999999999999</v>
      </c>
      <c r="AC5" s="41" t="s">
        <v>41</v>
      </c>
      <c r="AD5" s="34">
        <v>0</v>
      </c>
      <c r="AE5" s="48" t="s">
        <v>97</v>
      </c>
      <c r="AF5" s="40">
        <f t="shared" si="18"/>
        <v>125.27886704613674</v>
      </c>
      <c r="AG5" s="41" t="s">
        <v>46</v>
      </c>
      <c r="AH5" s="34">
        <v>-1</v>
      </c>
      <c r="AI5" s="48" t="s">
        <v>96</v>
      </c>
      <c r="AJ5" s="40">
        <f t="shared" si="19"/>
        <v>104.21573392685957</v>
      </c>
      <c r="AK5" s="41" t="s">
        <v>46</v>
      </c>
      <c r="AL5" s="34">
        <v>1</v>
      </c>
      <c r="AM5" s="48" t="s">
        <v>95</v>
      </c>
      <c r="AN5" s="40">
        <f t="shared" si="20"/>
        <v>98</v>
      </c>
      <c r="AO5" s="41" t="s">
        <v>46</v>
      </c>
      <c r="AP5" s="34">
        <v>1</v>
      </c>
      <c r="AQ5" s="48" t="s">
        <v>94</v>
      </c>
      <c r="AR5" s="65">
        <f t="shared" si="21"/>
        <v>1.8822665668890473</v>
      </c>
      <c r="AS5" s="41" t="s">
        <v>48</v>
      </c>
      <c r="AT5" s="34">
        <v>1</v>
      </c>
      <c r="AU5" s="67">
        <f t="shared" si="22"/>
        <v>1</v>
      </c>
      <c r="AV5" s="51"/>
    </row>
    <row r="6" spans="1:48" ht="15.75" customHeight="1" x14ac:dyDescent="0.45">
      <c r="A6" s="46">
        <v>5</v>
      </c>
      <c r="B6" s="47">
        <v>44858.402518518516</v>
      </c>
      <c r="C6" s="48" t="s">
        <v>93</v>
      </c>
      <c r="D6" s="48" t="s">
        <v>92</v>
      </c>
      <c r="E6" s="49">
        <v>353151</v>
      </c>
      <c r="F6" s="32">
        <f t="shared" si="0"/>
        <v>3</v>
      </c>
      <c r="G6" s="32">
        <f t="shared" si="1"/>
        <v>5</v>
      </c>
      <c r="H6" s="32">
        <f t="shared" si="2"/>
        <v>3</v>
      </c>
      <c r="I6" s="32">
        <f t="shared" si="3"/>
        <v>1</v>
      </c>
      <c r="J6" s="32">
        <f t="shared" si="4"/>
        <v>5</v>
      </c>
      <c r="K6" s="32">
        <f t="shared" si="5"/>
        <v>1</v>
      </c>
      <c r="L6" s="48" t="s">
        <v>66</v>
      </c>
      <c r="M6" s="34">
        <f t="shared" si="6"/>
        <v>-1</v>
      </c>
      <c r="N6" s="34">
        <f t="shared" si="7"/>
        <v>0</v>
      </c>
      <c r="O6" s="34">
        <f t="shared" si="8"/>
        <v>-1</v>
      </c>
      <c r="P6" s="34">
        <f t="shared" si="9"/>
        <v>0</v>
      </c>
      <c r="Q6" s="34">
        <f t="shared" si="10"/>
        <v>0</v>
      </c>
      <c r="R6" s="34">
        <f t="shared" si="11"/>
        <v>1</v>
      </c>
      <c r="S6" s="48" t="s">
        <v>65</v>
      </c>
      <c r="T6" s="34">
        <f t="shared" si="12"/>
        <v>0</v>
      </c>
      <c r="U6" s="34">
        <f t="shared" si="13"/>
        <v>0</v>
      </c>
      <c r="V6" s="34">
        <f t="shared" si="14"/>
        <v>1</v>
      </c>
      <c r="W6" s="34">
        <f t="shared" si="15"/>
        <v>0</v>
      </c>
      <c r="X6" s="34">
        <f t="shared" si="16"/>
        <v>1</v>
      </c>
      <c r="Y6" s="48" t="s">
        <v>27</v>
      </c>
      <c r="Z6" s="34">
        <v>1</v>
      </c>
      <c r="AA6" s="48" t="s">
        <v>91</v>
      </c>
      <c r="AB6" s="40">
        <f t="shared" si="17"/>
        <v>61.972999999999999</v>
      </c>
      <c r="AC6" s="41" t="s">
        <v>41</v>
      </c>
      <c r="AD6" s="34">
        <v>-1</v>
      </c>
      <c r="AE6" s="48" t="s">
        <v>90</v>
      </c>
      <c r="AF6" s="40">
        <f t="shared" si="18"/>
        <v>120.52182518111363</v>
      </c>
      <c r="AG6" s="41" t="s">
        <v>46</v>
      </c>
      <c r="AH6" s="34">
        <v>1</v>
      </c>
      <c r="AI6" s="48" t="s">
        <v>89</v>
      </c>
      <c r="AJ6" s="40">
        <f t="shared" si="19"/>
        <v>96.092699609758313</v>
      </c>
      <c r="AK6" s="41" t="s">
        <v>46</v>
      </c>
      <c r="AL6" s="34">
        <v>-1</v>
      </c>
      <c r="AM6" s="48" t="s">
        <v>88</v>
      </c>
      <c r="AN6" s="40">
        <f t="shared" si="20"/>
        <v>92</v>
      </c>
      <c r="AO6" s="41" t="s">
        <v>46</v>
      </c>
      <c r="AP6" s="34">
        <v>-1</v>
      </c>
      <c r="AQ6" s="48" t="s">
        <v>87</v>
      </c>
      <c r="AR6" s="65">
        <f t="shared" si="21"/>
        <v>1.1653849926315509</v>
      </c>
      <c r="AS6" s="41" t="s">
        <v>48</v>
      </c>
      <c r="AT6" s="34">
        <v>-1</v>
      </c>
      <c r="AU6" s="69">
        <f t="shared" si="22"/>
        <v>-1</v>
      </c>
      <c r="AV6" s="51" t="s">
        <v>146</v>
      </c>
    </row>
    <row r="7" spans="1:48" ht="15.75" customHeight="1" x14ac:dyDescent="0.45">
      <c r="A7" s="46">
        <v>6</v>
      </c>
      <c r="B7" s="47">
        <v>44858.403937673611</v>
      </c>
      <c r="C7" s="48" t="s">
        <v>86</v>
      </c>
      <c r="D7" s="48" t="s">
        <v>85</v>
      </c>
      <c r="E7" s="49">
        <v>336706</v>
      </c>
      <c r="F7" s="32">
        <f t="shared" si="0"/>
        <v>3</v>
      </c>
      <c r="G7" s="32">
        <f t="shared" si="1"/>
        <v>3</v>
      </c>
      <c r="H7" s="32">
        <f t="shared" si="2"/>
        <v>6</v>
      </c>
      <c r="I7" s="32">
        <f t="shared" si="3"/>
        <v>7</v>
      </c>
      <c r="J7" s="32">
        <f t="shared" si="4"/>
        <v>0</v>
      </c>
      <c r="K7" s="32">
        <f t="shared" si="5"/>
        <v>6</v>
      </c>
      <c r="L7" s="48" t="s">
        <v>84</v>
      </c>
      <c r="M7" s="34">
        <f t="shared" si="6"/>
        <v>0</v>
      </c>
      <c r="N7" s="34">
        <f t="shared" si="7"/>
        <v>1</v>
      </c>
      <c r="O7" s="34">
        <f t="shared" si="8"/>
        <v>-1</v>
      </c>
      <c r="P7" s="34">
        <f t="shared" si="9"/>
        <v>0</v>
      </c>
      <c r="Q7" s="34">
        <f t="shared" si="10"/>
        <v>0</v>
      </c>
      <c r="R7" s="34">
        <f t="shared" si="11"/>
        <v>1</v>
      </c>
      <c r="S7" s="48" t="s">
        <v>65</v>
      </c>
      <c r="T7" s="34">
        <f t="shared" si="12"/>
        <v>0</v>
      </c>
      <c r="U7" s="34">
        <f t="shared" si="13"/>
        <v>0</v>
      </c>
      <c r="V7" s="34">
        <f t="shared" si="14"/>
        <v>1</v>
      </c>
      <c r="W7" s="34">
        <f t="shared" si="15"/>
        <v>0</v>
      </c>
      <c r="X7" s="34">
        <f t="shared" si="16"/>
        <v>1</v>
      </c>
      <c r="Y7" s="48" t="s">
        <v>27</v>
      </c>
      <c r="Z7" s="34">
        <v>1</v>
      </c>
      <c r="AA7" s="50"/>
      <c r="AB7" s="40">
        <f t="shared" si="17"/>
        <v>67.972999999999999</v>
      </c>
      <c r="AC7" s="41" t="s">
        <v>41</v>
      </c>
      <c r="AD7" s="34">
        <v>0</v>
      </c>
      <c r="AE7" s="48" t="s">
        <v>83</v>
      </c>
      <c r="AF7" s="40">
        <f t="shared" si="18"/>
        <v>122</v>
      </c>
      <c r="AG7" s="41" t="s">
        <v>46</v>
      </c>
      <c r="AH7" s="34">
        <v>-1</v>
      </c>
      <c r="AI7" s="48" t="s">
        <v>82</v>
      </c>
      <c r="AJ7" s="40">
        <f t="shared" si="19"/>
        <v>103.44482672150168</v>
      </c>
      <c r="AK7" s="41" t="s">
        <v>46</v>
      </c>
      <c r="AL7" s="34">
        <v>-1</v>
      </c>
      <c r="AM7" s="48" t="s">
        <v>81</v>
      </c>
      <c r="AN7" s="40">
        <f t="shared" si="20"/>
        <v>97</v>
      </c>
      <c r="AO7" s="41" t="s">
        <v>46</v>
      </c>
      <c r="AP7" s="34">
        <v>-1</v>
      </c>
      <c r="AQ7" s="48" t="s">
        <v>80</v>
      </c>
      <c r="AR7" s="65">
        <f t="shared" si="21"/>
        <v>1.8712051592547776</v>
      </c>
      <c r="AS7" s="41" t="s">
        <v>48</v>
      </c>
      <c r="AT7" s="34">
        <v>-1</v>
      </c>
      <c r="AU7" s="67">
        <f t="shared" si="22"/>
        <v>0</v>
      </c>
      <c r="AV7" s="51"/>
    </row>
    <row r="8" spans="1:48" ht="15.75" customHeight="1" x14ac:dyDescent="0.45">
      <c r="A8" s="46">
        <v>7</v>
      </c>
      <c r="B8" s="47">
        <v>44858.404270451385</v>
      </c>
      <c r="C8" s="48" t="s">
        <v>79</v>
      </c>
      <c r="D8" s="48" t="s">
        <v>78</v>
      </c>
      <c r="E8" s="52" t="s">
        <v>77</v>
      </c>
      <c r="F8" s="32">
        <f t="shared" si="0"/>
        <v>0</v>
      </c>
      <c r="G8" s="32">
        <f t="shared" si="1"/>
        <v>8</v>
      </c>
      <c r="H8" s="32">
        <f t="shared" si="2"/>
        <v>0</v>
      </c>
      <c r="I8" s="32">
        <f t="shared" si="3"/>
        <v>5</v>
      </c>
      <c r="J8" s="32">
        <f t="shared" si="4"/>
        <v>0</v>
      </c>
      <c r="K8" s="32">
        <f t="shared" si="5"/>
        <v>0</v>
      </c>
      <c r="L8" s="48" t="s">
        <v>66</v>
      </c>
      <c r="M8" s="34">
        <f t="shared" si="6"/>
        <v>-1</v>
      </c>
      <c r="N8" s="34">
        <f t="shared" si="7"/>
        <v>0</v>
      </c>
      <c r="O8" s="34">
        <f t="shared" si="8"/>
        <v>-1</v>
      </c>
      <c r="P8" s="34">
        <f t="shared" si="9"/>
        <v>0</v>
      </c>
      <c r="Q8" s="34">
        <f t="shared" si="10"/>
        <v>0</v>
      </c>
      <c r="R8" s="34">
        <f t="shared" si="11"/>
        <v>1</v>
      </c>
      <c r="S8" s="48" t="s">
        <v>65</v>
      </c>
      <c r="T8" s="34">
        <f t="shared" si="12"/>
        <v>0</v>
      </c>
      <c r="U8" s="34">
        <f t="shared" si="13"/>
        <v>0</v>
      </c>
      <c r="V8" s="34">
        <f t="shared" si="14"/>
        <v>1</v>
      </c>
      <c r="W8" s="34">
        <f t="shared" si="15"/>
        <v>0</v>
      </c>
      <c r="X8" s="34">
        <f t="shared" si="16"/>
        <v>1</v>
      </c>
      <c r="Y8" s="48" t="s">
        <v>27</v>
      </c>
      <c r="Z8" s="34">
        <v>1</v>
      </c>
      <c r="AA8" s="53">
        <v>73</v>
      </c>
      <c r="AB8" s="40">
        <f t="shared" si="17"/>
        <v>65.972999999999999</v>
      </c>
      <c r="AC8" s="41" t="s">
        <v>41</v>
      </c>
      <c r="AD8" s="34">
        <v>-1</v>
      </c>
      <c r="AE8" s="53">
        <v>116</v>
      </c>
      <c r="AF8" s="40">
        <f t="shared" si="18"/>
        <v>116</v>
      </c>
      <c r="AG8" s="41" t="s">
        <v>46</v>
      </c>
      <c r="AH8" s="34">
        <v>1</v>
      </c>
      <c r="AI8" s="53">
        <v>97</v>
      </c>
      <c r="AJ8" s="40">
        <f t="shared" si="19"/>
        <v>97.030899869919438</v>
      </c>
      <c r="AK8" s="41" t="s">
        <v>46</v>
      </c>
      <c r="AL8" s="34">
        <v>1</v>
      </c>
      <c r="AM8" s="53">
        <v>93</v>
      </c>
      <c r="AN8" s="40">
        <f t="shared" si="20"/>
        <v>91</v>
      </c>
      <c r="AO8" s="41" t="s">
        <v>46</v>
      </c>
      <c r="AP8" s="34">
        <v>-1</v>
      </c>
      <c r="AQ8" s="54" t="s">
        <v>76</v>
      </c>
      <c r="AR8" s="65">
        <f t="shared" si="21"/>
        <v>1.381976597885342</v>
      </c>
      <c r="AS8" s="41" t="s">
        <v>48</v>
      </c>
      <c r="AT8" s="34">
        <v>1</v>
      </c>
      <c r="AU8" s="67">
        <f t="shared" si="22"/>
        <v>3</v>
      </c>
      <c r="AV8" s="55" t="s">
        <v>143</v>
      </c>
    </row>
    <row r="9" spans="1:48" ht="15.75" customHeight="1" x14ac:dyDescent="0.45">
      <c r="A9" s="46">
        <v>8</v>
      </c>
      <c r="B9" s="47">
        <v>44858.404434571756</v>
      </c>
      <c r="C9" s="48" t="s">
        <v>75</v>
      </c>
      <c r="D9" s="48" t="s">
        <v>74</v>
      </c>
      <c r="E9" s="49">
        <v>340594</v>
      </c>
      <c r="F9" s="32">
        <f t="shared" si="0"/>
        <v>3</v>
      </c>
      <c r="G9" s="32">
        <f t="shared" si="1"/>
        <v>4</v>
      </c>
      <c r="H9" s="32">
        <f t="shared" si="2"/>
        <v>0</v>
      </c>
      <c r="I9" s="32">
        <f t="shared" si="3"/>
        <v>5</v>
      </c>
      <c r="J9" s="32">
        <f t="shared" si="4"/>
        <v>9</v>
      </c>
      <c r="K9" s="32">
        <f t="shared" si="5"/>
        <v>4</v>
      </c>
      <c r="L9" s="50"/>
      <c r="M9" s="34">
        <f t="shared" si="6"/>
        <v>0</v>
      </c>
      <c r="N9" s="34">
        <f t="shared" si="7"/>
        <v>0</v>
      </c>
      <c r="O9" s="34">
        <f t="shared" si="8"/>
        <v>0</v>
      </c>
      <c r="P9" s="34">
        <f t="shared" si="9"/>
        <v>0</v>
      </c>
      <c r="Q9" s="34">
        <f t="shared" si="10"/>
        <v>0</v>
      </c>
      <c r="R9" s="34">
        <f t="shared" si="11"/>
        <v>0</v>
      </c>
      <c r="S9" s="50"/>
      <c r="T9" s="34">
        <f t="shared" si="12"/>
        <v>0</v>
      </c>
      <c r="U9" s="34">
        <f t="shared" si="13"/>
        <v>0</v>
      </c>
      <c r="V9" s="34">
        <f t="shared" si="14"/>
        <v>0</v>
      </c>
      <c r="W9" s="34">
        <f t="shared" si="15"/>
        <v>0</v>
      </c>
      <c r="X9" s="34">
        <f t="shared" si="16"/>
        <v>0</v>
      </c>
      <c r="Y9" s="50"/>
      <c r="Z9" s="34">
        <v>0</v>
      </c>
      <c r="AA9" s="50"/>
      <c r="AB9" s="40">
        <f t="shared" si="17"/>
        <v>65.972999999999999</v>
      </c>
      <c r="AC9" s="41" t="s">
        <v>41</v>
      </c>
      <c r="AD9" s="34">
        <v>0</v>
      </c>
      <c r="AE9" s="48" t="s">
        <v>73</v>
      </c>
      <c r="AF9" s="40">
        <f t="shared" si="18"/>
        <v>125.57507201905658</v>
      </c>
      <c r="AG9" s="41" t="s">
        <v>46</v>
      </c>
      <c r="AH9" s="34">
        <v>-1</v>
      </c>
      <c r="AI9" s="48" t="s">
        <v>72</v>
      </c>
      <c r="AJ9" s="40">
        <f t="shared" si="19"/>
        <v>99.417219847569683</v>
      </c>
      <c r="AK9" s="41" t="s">
        <v>46</v>
      </c>
      <c r="AL9" s="34">
        <v>-1</v>
      </c>
      <c r="AM9" s="48" t="s">
        <v>71</v>
      </c>
      <c r="AN9" s="40">
        <f t="shared" si="20"/>
        <v>95</v>
      </c>
      <c r="AO9" s="41" t="s">
        <v>46</v>
      </c>
      <c r="AP9" s="34">
        <v>-1</v>
      </c>
      <c r="AQ9" s="48" t="s">
        <v>70</v>
      </c>
      <c r="AR9" s="65">
        <f t="shared" si="21"/>
        <v>1.3793265923829792</v>
      </c>
      <c r="AS9" s="41" t="s">
        <v>48</v>
      </c>
      <c r="AT9" s="34">
        <v>-1</v>
      </c>
      <c r="AU9" s="69">
        <f t="shared" si="22"/>
        <v>-4</v>
      </c>
      <c r="AV9" s="51" t="s">
        <v>146</v>
      </c>
    </row>
    <row r="10" spans="1:48" ht="15.75" customHeight="1" thickBot="1" x14ac:dyDescent="0.5">
      <c r="A10" s="56">
        <v>9</v>
      </c>
      <c r="B10" s="57">
        <v>44858.404470636575</v>
      </c>
      <c r="C10" s="58" t="s">
        <v>69</v>
      </c>
      <c r="D10" s="58" t="s">
        <v>68</v>
      </c>
      <c r="E10" s="59" t="s">
        <v>67</v>
      </c>
      <c r="F10" s="33">
        <f t="shared" si="0"/>
        <v>0</v>
      </c>
      <c r="G10" s="33">
        <f t="shared" si="1"/>
        <v>2</v>
      </c>
      <c r="H10" s="33">
        <f t="shared" si="2"/>
        <v>0</v>
      </c>
      <c r="I10" s="33">
        <f t="shared" si="3"/>
        <v>2</v>
      </c>
      <c r="J10" s="33">
        <f t="shared" si="4"/>
        <v>0</v>
      </c>
      <c r="K10" s="33">
        <f t="shared" si="5"/>
        <v>0</v>
      </c>
      <c r="L10" s="58" t="s">
        <v>66</v>
      </c>
      <c r="M10" s="60">
        <f t="shared" si="6"/>
        <v>-1</v>
      </c>
      <c r="N10" s="60">
        <f t="shared" si="7"/>
        <v>0</v>
      </c>
      <c r="O10" s="60">
        <f t="shared" si="8"/>
        <v>-1</v>
      </c>
      <c r="P10" s="60">
        <f t="shared" si="9"/>
        <v>0</v>
      </c>
      <c r="Q10" s="60">
        <f t="shared" si="10"/>
        <v>0</v>
      </c>
      <c r="R10" s="60">
        <f t="shared" si="11"/>
        <v>1</v>
      </c>
      <c r="S10" s="58" t="s">
        <v>65</v>
      </c>
      <c r="T10" s="60">
        <f t="shared" si="12"/>
        <v>0</v>
      </c>
      <c r="U10" s="60">
        <f t="shared" si="13"/>
        <v>0</v>
      </c>
      <c r="V10" s="60">
        <f t="shared" si="14"/>
        <v>1</v>
      </c>
      <c r="W10" s="60">
        <f t="shared" si="15"/>
        <v>0</v>
      </c>
      <c r="X10" s="60">
        <f t="shared" si="16"/>
        <v>1</v>
      </c>
      <c r="Y10" s="58" t="s">
        <v>27</v>
      </c>
      <c r="Z10" s="60">
        <v>1</v>
      </c>
      <c r="AA10" s="61"/>
      <c r="AB10" s="62">
        <f t="shared" si="17"/>
        <v>62.972999999999999</v>
      </c>
      <c r="AC10" s="63" t="s">
        <v>41</v>
      </c>
      <c r="AD10" s="60">
        <v>0</v>
      </c>
      <c r="AE10" s="58" t="s">
        <v>64</v>
      </c>
      <c r="AF10" s="62">
        <f t="shared" si="18"/>
        <v>116</v>
      </c>
      <c r="AG10" s="63" t="s">
        <v>46</v>
      </c>
      <c r="AH10" s="60">
        <v>1</v>
      </c>
      <c r="AI10" s="58" t="s">
        <v>63</v>
      </c>
      <c r="AJ10" s="62">
        <f t="shared" si="19"/>
        <v>96.32508912706237</v>
      </c>
      <c r="AK10" s="63" t="s">
        <v>46</v>
      </c>
      <c r="AL10" s="60">
        <v>-1</v>
      </c>
      <c r="AM10" s="58" t="s">
        <v>62</v>
      </c>
      <c r="AN10" s="62">
        <f t="shared" si="20"/>
        <v>91</v>
      </c>
      <c r="AO10" s="63" t="s">
        <v>46</v>
      </c>
      <c r="AP10" s="60">
        <v>-1</v>
      </c>
      <c r="AQ10" s="58" t="s">
        <v>61</v>
      </c>
      <c r="AR10" s="66">
        <f t="shared" si="21"/>
        <v>1.2741194683142285</v>
      </c>
      <c r="AS10" s="63" t="s">
        <v>48</v>
      </c>
      <c r="AT10" s="60">
        <v>-1</v>
      </c>
      <c r="AU10" s="68">
        <f t="shared" si="22"/>
        <v>0</v>
      </c>
      <c r="AV10" s="64"/>
    </row>
    <row r="11" spans="1:48" ht="15.75" customHeight="1" thickTop="1" x14ac:dyDescent="0.4"/>
  </sheetData>
  <conditionalFormatting sqref="M2:R10">
    <cfRule type="aboveAverage" dxfId="23" priority="23" aboveAverage="0"/>
    <cfRule type="aboveAverage" dxfId="22" priority="24"/>
  </conditionalFormatting>
  <conditionalFormatting sqref="M2:R10">
    <cfRule type="cellIs" dxfId="21" priority="22" operator="equal">
      <formula>0</formula>
    </cfRule>
  </conditionalFormatting>
  <conditionalFormatting sqref="T2:X10">
    <cfRule type="aboveAverage" dxfId="20" priority="20" aboveAverage="0"/>
    <cfRule type="aboveAverage" dxfId="19" priority="21"/>
  </conditionalFormatting>
  <conditionalFormatting sqref="T2:X10">
    <cfRule type="cellIs" dxfId="18" priority="19" operator="equal">
      <formula>0</formula>
    </cfRule>
  </conditionalFormatting>
  <conditionalFormatting sqref="Z2:Z10">
    <cfRule type="cellIs" dxfId="17" priority="17" operator="equal">
      <formula>-1</formula>
    </cfRule>
    <cfRule type="cellIs" dxfId="16" priority="18" operator="equal">
      <formula>1</formula>
    </cfRule>
  </conditionalFormatting>
  <conditionalFormatting sqref="Z2:Z10">
    <cfRule type="cellIs" dxfId="15" priority="16" operator="equal">
      <formula>0</formula>
    </cfRule>
  </conditionalFormatting>
  <conditionalFormatting sqref="AD2:AD10">
    <cfRule type="cellIs" dxfId="14" priority="14" operator="equal">
      <formula>-1</formula>
    </cfRule>
    <cfRule type="cellIs" dxfId="13" priority="15" operator="equal">
      <formula>1</formula>
    </cfRule>
  </conditionalFormatting>
  <conditionalFormatting sqref="AD2:AD10">
    <cfRule type="cellIs" dxfId="12" priority="13" operator="equal">
      <formula>0</formula>
    </cfRule>
  </conditionalFormatting>
  <conditionalFormatting sqref="AH2:AH10">
    <cfRule type="cellIs" dxfId="11" priority="11" operator="equal">
      <formula>-1</formula>
    </cfRule>
    <cfRule type="cellIs" dxfId="10" priority="12" operator="equal">
      <formula>1</formula>
    </cfRule>
  </conditionalFormatting>
  <conditionalFormatting sqref="AH2:AH10">
    <cfRule type="cellIs" dxfId="9" priority="10" operator="equal">
      <formula>0</formula>
    </cfRule>
  </conditionalFormatting>
  <conditionalFormatting sqref="AL2:AL10">
    <cfRule type="cellIs" dxfId="8" priority="8" operator="equal">
      <formula>-1</formula>
    </cfRule>
    <cfRule type="cellIs" dxfId="7" priority="9" operator="equal">
      <formula>1</formula>
    </cfRule>
  </conditionalFormatting>
  <conditionalFormatting sqref="AL2:AL10">
    <cfRule type="cellIs" dxfId="6" priority="7" operator="equal">
      <formula>0</formula>
    </cfRule>
  </conditionalFormatting>
  <conditionalFormatting sqref="AP2:AP10">
    <cfRule type="cellIs" dxfId="5" priority="5" operator="equal">
      <formula>-1</formula>
    </cfRule>
    <cfRule type="cellIs" dxfId="4" priority="6" operator="equal">
      <formula>1</formula>
    </cfRule>
  </conditionalFormatting>
  <conditionalFormatting sqref="AP2:AP10">
    <cfRule type="cellIs" dxfId="3" priority="4" operator="equal">
      <formula>0</formula>
    </cfRule>
  </conditionalFormatting>
  <conditionalFormatting sqref="AT2:AT10">
    <cfRule type="cellIs" dxfId="2" priority="2" operator="equal">
      <formula>-1</formula>
    </cfRule>
    <cfRule type="cellIs" dxfId="1" priority="3" operator="equal">
      <formula>1</formula>
    </cfRule>
  </conditionalFormatting>
  <conditionalFormatting sqref="AT2:AT10">
    <cfRule type="cellIs" dxfId="0" priority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Solution</vt:lpstr>
      <vt:lpstr>Test-2022-10-24</vt:lpstr>
      <vt:lpstr>A</vt:lpstr>
      <vt:lpstr>AA</vt:lpstr>
      <vt:lpstr>B</vt:lpstr>
      <vt:lpstr>CC</vt:lpstr>
      <vt:lpstr>D</vt:lpstr>
      <vt:lpstr>dd</vt:lpstr>
      <vt:lpstr>E</vt:lpstr>
      <vt:lpstr>F</vt:lpstr>
      <vt:lpstr>Ldir</vt:lpstr>
      <vt:lpstr>Lrev</vt:lpstr>
      <vt:lpstr>Q</vt:lpstr>
      <vt:lpstr>QQ</vt:lpstr>
      <vt:lpstr>SPL</vt:lpstr>
      <vt:lpstr>T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2022-10-24T07:52:54Z</dcterms:created>
  <dcterms:modified xsi:type="dcterms:W3CDTF">2022-10-24T18:43:58Z</dcterms:modified>
</cp:coreProperties>
</file>