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Farina\Corsi\Applied-Acoustics\Tests-2019\"/>
    </mc:Choice>
  </mc:AlternateContent>
  <xr:revisionPtr revIDLastSave="0" documentId="13_ncr:1_{0FD6181A-92C0-4164-90C9-8FA939DFC870}" xr6:coauthVersionLast="41" xr6:coauthVersionMax="41" xr10:uidLastSave="{00000000-0000-0000-0000-000000000000}"/>
  <bookViews>
    <workbookView xWindow="1020" yWindow="-120" windowWidth="27900" windowHeight="16440" xr2:uid="{00000000-000D-0000-FFFF-FFFF00000000}"/>
  </bookViews>
  <sheets>
    <sheet name="Form responses 1" sheetId="1" r:id="rId1"/>
    <sheet name="Solution" sheetId="2" r:id="rId2"/>
  </sheets>
  <definedNames>
    <definedName name="A">Solution!$B$2</definedName>
    <definedName name="AA">Solution!$N$38</definedName>
    <definedName name="alfa">Solution!$L$38</definedName>
    <definedName name="B">Solution!$C$2</definedName>
    <definedName name="CC">Solution!$D$2</definedName>
    <definedName name="D">Solution!$E$2</definedName>
    <definedName name="E">Solution!$F$2</definedName>
    <definedName name="F">Solution!$G$2</definedName>
    <definedName name="ff">Solution!$I$45</definedName>
    <definedName name="Lpriv">Solution!$N$39</definedName>
    <definedName name="Lw">Solution!$N$35</definedName>
    <definedName name="rr">Solution!$F$35</definedName>
    <definedName name="S">Solution!$I$38</definedName>
    <definedName name="SPL">Solution!$I$35</definedName>
    <definedName name="SPLlin">Solution!$F$45</definedName>
    <definedName name="V">Solution!$F$38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28" i="1" l="1"/>
  <c r="AV27" i="1"/>
  <c r="AV25" i="1"/>
  <c r="AW25" i="1" s="1"/>
  <c r="AV24" i="1"/>
  <c r="AV23" i="1"/>
  <c r="AV22" i="1"/>
  <c r="AV19" i="1"/>
  <c r="AV18" i="1"/>
  <c r="AW18" i="1" s="1"/>
  <c r="AV17" i="1"/>
  <c r="AV16" i="1"/>
  <c r="AW16" i="1" s="1"/>
  <c r="AV15" i="1"/>
  <c r="AV14" i="1"/>
  <c r="AV13" i="1"/>
  <c r="AW13" i="1" s="1"/>
  <c r="AV12" i="1"/>
  <c r="AV10" i="1"/>
  <c r="AV8" i="1"/>
  <c r="AV6" i="1"/>
  <c r="AW6" i="1" s="1"/>
  <c r="AV5" i="1"/>
  <c r="AV4" i="1"/>
  <c r="AW4" i="1" s="1"/>
  <c r="AV3" i="1"/>
  <c r="AV2" i="1"/>
  <c r="AW2" i="1" s="1"/>
  <c r="AW3" i="1"/>
  <c r="AW5" i="1"/>
  <c r="AW7" i="1"/>
  <c r="AW8" i="1"/>
  <c r="AW9" i="1"/>
  <c r="AW10" i="1"/>
  <c r="AW11" i="1"/>
  <c r="AW12" i="1"/>
  <c r="AW14" i="1"/>
  <c r="AW15" i="1"/>
  <c r="AW17" i="1"/>
  <c r="AW19" i="1"/>
  <c r="AW20" i="1"/>
  <c r="AW21" i="1"/>
  <c r="AW22" i="1"/>
  <c r="AW23" i="1"/>
  <c r="AW24" i="1"/>
  <c r="AW26" i="1"/>
  <c r="AW27" i="1"/>
  <c r="AW28" i="1"/>
  <c r="AR28" i="1"/>
  <c r="AS28" i="1" s="1"/>
  <c r="AT28" i="1" s="1"/>
  <c r="AR27" i="1"/>
  <c r="AS27" i="1" s="1"/>
  <c r="AT27" i="1" s="1"/>
  <c r="AS26" i="1"/>
  <c r="AT26" i="1" s="1"/>
  <c r="AR26" i="1"/>
  <c r="AR25" i="1"/>
  <c r="AS25" i="1" s="1"/>
  <c r="AT25" i="1" s="1"/>
  <c r="AS24" i="1"/>
  <c r="AT24" i="1" s="1"/>
  <c r="AR24" i="1"/>
  <c r="AS23" i="1"/>
  <c r="AT23" i="1" s="1"/>
  <c r="AR23" i="1"/>
  <c r="AR22" i="1"/>
  <c r="AS22" i="1" s="1"/>
  <c r="AT22" i="1" s="1"/>
  <c r="AS21" i="1"/>
  <c r="AT21" i="1" s="1"/>
  <c r="AR21" i="1"/>
  <c r="AS20" i="1"/>
  <c r="AT20" i="1" s="1"/>
  <c r="AR20" i="1"/>
  <c r="AR19" i="1"/>
  <c r="AS19" i="1" s="1"/>
  <c r="AT19" i="1" s="1"/>
  <c r="AS18" i="1"/>
  <c r="AT18" i="1" s="1"/>
  <c r="AR18" i="1"/>
  <c r="AS17" i="1"/>
  <c r="AT17" i="1" s="1"/>
  <c r="AR17" i="1"/>
  <c r="AR16" i="1"/>
  <c r="AS16" i="1" s="1"/>
  <c r="AT16" i="1" s="1"/>
  <c r="AS15" i="1"/>
  <c r="AT15" i="1" s="1"/>
  <c r="AR15" i="1"/>
  <c r="AS14" i="1"/>
  <c r="AT14" i="1" s="1"/>
  <c r="AR14" i="1"/>
  <c r="AR13" i="1"/>
  <c r="AS13" i="1" s="1"/>
  <c r="AT13" i="1" s="1"/>
  <c r="AS12" i="1"/>
  <c r="AT12" i="1" s="1"/>
  <c r="AR12" i="1"/>
  <c r="AS11" i="1"/>
  <c r="AT11" i="1" s="1"/>
  <c r="AR11" i="1"/>
  <c r="AR10" i="1"/>
  <c r="AS10" i="1" s="1"/>
  <c r="AT10" i="1" s="1"/>
  <c r="AS9" i="1"/>
  <c r="AT9" i="1" s="1"/>
  <c r="AR9" i="1"/>
  <c r="AS8" i="1"/>
  <c r="AT8" i="1" s="1"/>
  <c r="AR8" i="1"/>
  <c r="AR7" i="1"/>
  <c r="AS7" i="1" s="1"/>
  <c r="AT7" i="1" s="1"/>
  <c r="AS6" i="1"/>
  <c r="AT6" i="1" s="1"/>
  <c r="AR6" i="1"/>
  <c r="AS5" i="1"/>
  <c r="AT5" i="1" s="1"/>
  <c r="AR5" i="1"/>
  <c r="AR4" i="1"/>
  <c r="AS4" i="1" s="1"/>
  <c r="AT4" i="1" s="1"/>
  <c r="AS3" i="1"/>
  <c r="AT3" i="1" s="1"/>
  <c r="AR3" i="1"/>
  <c r="AS2" i="1"/>
  <c r="AT2" i="1" s="1"/>
  <c r="AR2" i="1"/>
  <c r="AN7" i="1"/>
  <c r="AN28" i="1"/>
  <c r="AN27" i="1"/>
  <c r="AP27" i="1" s="1"/>
  <c r="AN26" i="1"/>
  <c r="AP26" i="1" s="1"/>
  <c r="AN25" i="1"/>
  <c r="AP25" i="1" s="1"/>
  <c r="AN24" i="1"/>
  <c r="AP24" i="1" s="1"/>
  <c r="AN23" i="1"/>
  <c r="AP23" i="1" s="1"/>
  <c r="AN22" i="1"/>
  <c r="AP22" i="1" s="1"/>
  <c r="AN21" i="1"/>
  <c r="AP21" i="1" s="1"/>
  <c r="AN20" i="1"/>
  <c r="AP20" i="1" s="1"/>
  <c r="AN19" i="1"/>
  <c r="AN17" i="1"/>
  <c r="AN16" i="1"/>
  <c r="AP16" i="1" s="1"/>
  <c r="AN15" i="1"/>
  <c r="AP15" i="1" s="1"/>
  <c r="AN14" i="1"/>
  <c r="AN13" i="1"/>
  <c r="AP13" i="1" s="1"/>
  <c r="AN12" i="1"/>
  <c r="AP12" i="1" s="1"/>
  <c r="AN11" i="1"/>
  <c r="AN10" i="1"/>
  <c r="AN9" i="1"/>
  <c r="AN8" i="1"/>
  <c r="AP8" i="1" s="1"/>
  <c r="AN6" i="1"/>
  <c r="AP6" i="1" s="1"/>
  <c r="AN5" i="1"/>
  <c r="AP5" i="1" s="1"/>
  <c r="AN4" i="1"/>
  <c r="AN3" i="1"/>
  <c r="AP3" i="1" s="1"/>
  <c r="AN2" i="1"/>
  <c r="AP2" i="1"/>
  <c r="AP19" i="1"/>
  <c r="AP18" i="1"/>
  <c r="AP17" i="1"/>
  <c r="AP14" i="1"/>
  <c r="AP11" i="1"/>
  <c r="AP10" i="1"/>
  <c r="AP9" i="1"/>
  <c r="AP4" i="1"/>
  <c r="AJ7" i="1"/>
  <c r="AJ28" i="1"/>
  <c r="AJ27" i="1"/>
  <c r="AL27" i="1" s="1"/>
  <c r="AJ26" i="1"/>
  <c r="AL26" i="1" s="1"/>
  <c r="AJ25" i="1"/>
  <c r="AL25" i="1" s="1"/>
  <c r="AJ24" i="1"/>
  <c r="AL24" i="1" s="1"/>
  <c r="AJ23" i="1"/>
  <c r="AL23" i="1" s="1"/>
  <c r="AJ22" i="1"/>
  <c r="AL22" i="1" s="1"/>
  <c r="AJ21" i="1"/>
  <c r="AL21" i="1" s="1"/>
  <c r="AJ20" i="1"/>
  <c r="AL20" i="1" s="1"/>
  <c r="AJ19" i="1"/>
  <c r="AL19" i="1" s="1"/>
  <c r="AL18" i="1"/>
  <c r="AJ18" i="1"/>
  <c r="AN18" i="1" s="1"/>
  <c r="AJ17" i="1"/>
  <c r="AL17" i="1" s="1"/>
  <c r="AJ16" i="1"/>
  <c r="AL16" i="1" s="1"/>
  <c r="AJ15" i="1"/>
  <c r="AL15" i="1" s="1"/>
  <c r="AJ14" i="1"/>
  <c r="AJ13" i="1"/>
  <c r="AL13" i="1" s="1"/>
  <c r="AJ12" i="1"/>
  <c r="AL12" i="1" s="1"/>
  <c r="AJ11" i="1"/>
  <c r="AJ10" i="1"/>
  <c r="AJ9" i="1"/>
  <c r="AL9" i="1" s="1"/>
  <c r="AJ8" i="1"/>
  <c r="AL8" i="1" s="1"/>
  <c r="AL7" i="1"/>
  <c r="AJ6" i="1"/>
  <c r="AL6" i="1" s="1"/>
  <c r="AJ5" i="1"/>
  <c r="AL5" i="1" s="1"/>
  <c r="AJ4" i="1"/>
  <c r="AL4" i="1" s="1"/>
  <c r="AJ3" i="1"/>
  <c r="AL3" i="1" s="1"/>
  <c r="AJ2" i="1"/>
  <c r="AL2" i="1"/>
  <c r="AF28" i="1"/>
  <c r="AH27" i="1"/>
  <c r="AF27" i="1"/>
  <c r="AH26" i="1"/>
  <c r="AF26" i="1"/>
  <c r="AF25" i="1"/>
  <c r="AH25" i="1" s="1"/>
  <c r="AH24" i="1"/>
  <c r="AF24" i="1"/>
  <c r="AF23" i="1"/>
  <c r="AH23" i="1" s="1"/>
  <c r="AF22" i="1"/>
  <c r="AH22" i="1" s="1"/>
  <c r="AH21" i="1"/>
  <c r="AF21" i="1"/>
  <c r="AH20" i="1"/>
  <c r="AF20" i="1"/>
  <c r="AF19" i="1"/>
  <c r="AH19" i="1" s="1"/>
  <c r="AH18" i="1"/>
  <c r="AF18" i="1"/>
  <c r="AF17" i="1"/>
  <c r="AH17" i="1" s="1"/>
  <c r="AF16" i="1"/>
  <c r="AH16" i="1" s="1"/>
  <c r="AH15" i="1"/>
  <c r="AF15" i="1"/>
  <c r="AH14" i="1"/>
  <c r="AF14" i="1"/>
  <c r="AF13" i="1"/>
  <c r="AH13" i="1" s="1"/>
  <c r="AH12" i="1"/>
  <c r="AF12" i="1"/>
  <c r="AF11" i="1"/>
  <c r="AF10" i="1"/>
  <c r="AH9" i="1"/>
  <c r="AF9" i="1"/>
  <c r="AH8" i="1"/>
  <c r="AF8" i="1"/>
  <c r="AF7" i="1"/>
  <c r="AH6" i="1"/>
  <c r="AF6" i="1"/>
  <c r="AF5" i="1"/>
  <c r="AH5" i="1" s="1"/>
  <c r="AF4" i="1"/>
  <c r="AH4" i="1" s="1"/>
  <c r="AH2" i="1"/>
  <c r="AH3" i="1"/>
  <c r="AF3" i="1"/>
  <c r="AF2" i="1"/>
  <c r="AD28" i="1"/>
  <c r="AC28" i="1"/>
  <c r="AB28" i="1"/>
  <c r="AA28" i="1"/>
  <c r="Z28" i="1"/>
  <c r="Y28" i="1"/>
  <c r="AD27" i="1"/>
  <c r="AC27" i="1"/>
  <c r="AB27" i="1"/>
  <c r="AA27" i="1"/>
  <c r="Z27" i="1"/>
  <c r="Y27" i="1"/>
  <c r="AD26" i="1"/>
  <c r="AC26" i="1"/>
  <c r="AB26" i="1"/>
  <c r="AA26" i="1"/>
  <c r="Z26" i="1"/>
  <c r="Y26" i="1"/>
  <c r="AD25" i="1"/>
  <c r="AC25" i="1"/>
  <c r="AB25" i="1"/>
  <c r="AA25" i="1"/>
  <c r="Z25" i="1"/>
  <c r="Y25" i="1"/>
  <c r="AD24" i="1"/>
  <c r="AC24" i="1"/>
  <c r="AB24" i="1"/>
  <c r="AA24" i="1"/>
  <c r="Z24" i="1"/>
  <c r="Y24" i="1"/>
  <c r="AD23" i="1"/>
  <c r="AC23" i="1"/>
  <c r="AB23" i="1"/>
  <c r="AA23" i="1"/>
  <c r="Z23" i="1"/>
  <c r="Y23" i="1"/>
  <c r="AD22" i="1"/>
  <c r="AC22" i="1"/>
  <c r="AB22" i="1"/>
  <c r="AA22" i="1"/>
  <c r="Z22" i="1"/>
  <c r="Y22" i="1"/>
  <c r="AD21" i="1"/>
  <c r="AC21" i="1"/>
  <c r="AB21" i="1"/>
  <c r="AA21" i="1"/>
  <c r="Z21" i="1"/>
  <c r="Y21" i="1"/>
  <c r="AD20" i="1"/>
  <c r="AC20" i="1"/>
  <c r="AB20" i="1"/>
  <c r="AA20" i="1"/>
  <c r="Z20" i="1"/>
  <c r="Y20" i="1"/>
  <c r="AD19" i="1"/>
  <c r="AC19" i="1"/>
  <c r="AB19" i="1"/>
  <c r="AA19" i="1"/>
  <c r="Z19" i="1"/>
  <c r="Y19" i="1"/>
  <c r="AD18" i="1"/>
  <c r="AC18" i="1"/>
  <c r="AB18" i="1"/>
  <c r="AA18" i="1"/>
  <c r="Z18" i="1"/>
  <c r="Y18" i="1"/>
  <c r="AD17" i="1"/>
  <c r="AC17" i="1"/>
  <c r="AB17" i="1"/>
  <c r="AA17" i="1"/>
  <c r="Z17" i="1"/>
  <c r="Y17" i="1"/>
  <c r="AD16" i="1"/>
  <c r="AC16" i="1"/>
  <c r="AB16" i="1"/>
  <c r="AA16" i="1"/>
  <c r="Z16" i="1"/>
  <c r="Y16" i="1"/>
  <c r="AD15" i="1"/>
  <c r="AC15" i="1"/>
  <c r="AB15" i="1"/>
  <c r="AA15" i="1"/>
  <c r="Z15" i="1"/>
  <c r="Y15" i="1"/>
  <c r="AD14" i="1"/>
  <c r="AC14" i="1"/>
  <c r="AB14" i="1"/>
  <c r="AA14" i="1"/>
  <c r="Z14" i="1"/>
  <c r="Y14" i="1"/>
  <c r="AD13" i="1"/>
  <c r="AC13" i="1"/>
  <c r="AB13" i="1"/>
  <c r="AA13" i="1"/>
  <c r="Z13" i="1"/>
  <c r="Y13" i="1"/>
  <c r="AD12" i="1"/>
  <c r="AC12" i="1"/>
  <c r="AB12" i="1"/>
  <c r="AA12" i="1"/>
  <c r="Z12" i="1"/>
  <c r="Y12" i="1"/>
  <c r="AD11" i="1"/>
  <c r="AC11" i="1"/>
  <c r="AB11" i="1"/>
  <c r="AA11" i="1"/>
  <c r="Z11" i="1"/>
  <c r="Y11" i="1"/>
  <c r="AD10" i="1"/>
  <c r="AC10" i="1"/>
  <c r="AB10" i="1"/>
  <c r="AA10" i="1"/>
  <c r="Z10" i="1"/>
  <c r="Y10" i="1"/>
  <c r="AD9" i="1"/>
  <c r="AC9" i="1"/>
  <c r="AB9" i="1"/>
  <c r="AA9" i="1"/>
  <c r="Z9" i="1"/>
  <c r="Y9" i="1"/>
  <c r="AD8" i="1"/>
  <c r="AC8" i="1"/>
  <c r="AB8" i="1"/>
  <c r="AA8" i="1"/>
  <c r="Z8" i="1"/>
  <c r="Y8" i="1"/>
  <c r="AD7" i="1"/>
  <c r="AC7" i="1"/>
  <c r="AB7" i="1"/>
  <c r="AA7" i="1"/>
  <c r="Z7" i="1"/>
  <c r="Y7" i="1"/>
  <c r="AD6" i="1"/>
  <c r="AC6" i="1"/>
  <c r="AB6" i="1"/>
  <c r="AA6" i="1"/>
  <c r="Z6" i="1"/>
  <c r="Y6" i="1"/>
  <c r="AD5" i="1"/>
  <c r="AC5" i="1"/>
  <c r="AB5" i="1"/>
  <c r="AA5" i="1"/>
  <c r="Z5" i="1"/>
  <c r="Y5" i="1"/>
  <c r="AD4" i="1"/>
  <c r="AC4" i="1"/>
  <c r="AB4" i="1"/>
  <c r="AA4" i="1"/>
  <c r="Z4" i="1"/>
  <c r="Y4" i="1"/>
  <c r="AD3" i="1"/>
  <c r="AC3" i="1"/>
  <c r="AB3" i="1"/>
  <c r="AA3" i="1"/>
  <c r="Z3" i="1"/>
  <c r="Y3" i="1"/>
  <c r="AD2" i="1"/>
  <c r="AC2" i="1"/>
  <c r="AB2" i="1"/>
  <c r="AA2" i="1"/>
  <c r="Z2" i="1"/>
  <c r="Y2" i="1"/>
  <c r="W28" i="1"/>
  <c r="V28" i="1"/>
  <c r="U28" i="1"/>
  <c r="T28" i="1"/>
  <c r="S28" i="1"/>
  <c r="R28" i="1"/>
  <c r="W27" i="1"/>
  <c r="V27" i="1"/>
  <c r="U27" i="1"/>
  <c r="T27" i="1"/>
  <c r="S27" i="1"/>
  <c r="R27" i="1"/>
  <c r="W26" i="1"/>
  <c r="V26" i="1"/>
  <c r="U26" i="1"/>
  <c r="T26" i="1"/>
  <c r="S26" i="1"/>
  <c r="R26" i="1"/>
  <c r="W25" i="1"/>
  <c r="V25" i="1"/>
  <c r="U25" i="1"/>
  <c r="T25" i="1"/>
  <c r="S25" i="1"/>
  <c r="R25" i="1"/>
  <c r="W24" i="1"/>
  <c r="V24" i="1"/>
  <c r="U24" i="1"/>
  <c r="T24" i="1"/>
  <c r="S24" i="1"/>
  <c r="R24" i="1"/>
  <c r="W23" i="1"/>
  <c r="V23" i="1"/>
  <c r="U23" i="1"/>
  <c r="T23" i="1"/>
  <c r="S23" i="1"/>
  <c r="R23" i="1"/>
  <c r="W22" i="1"/>
  <c r="V22" i="1"/>
  <c r="U22" i="1"/>
  <c r="T22" i="1"/>
  <c r="S22" i="1"/>
  <c r="R22" i="1"/>
  <c r="W21" i="1"/>
  <c r="V21" i="1"/>
  <c r="U21" i="1"/>
  <c r="T21" i="1"/>
  <c r="S21" i="1"/>
  <c r="R21" i="1"/>
  <c r="W20" i="1"/>
  <c r="V20" i="1"/>
  <c r="U20" i="1"/>
  <c r="T20" i="1"/>
  <c r="S20" i="1"/>
  <c r="R20" i="1"/>
  <c r="W19" i="1"/>
  <c r="V19" i="1"/>
  <c r="U19" i="1"/>
  <c r="T19" i="1"/>
  <c r="S19" i="1"/>
  <c r="R19" i="1"/>
  <c r="W18" i="1"/>
  <c r="V18" i="1"/>
  <c r="U18" i="1"/>
  <c r="T18" i="1"/>
  <c r="S18" i="1"/>
  <c r="R18" i="1"/>
  <c r="W17" i="1"/>
  <c r="V17" i="1"/>
  <c r="U17" i="1"/>
  <c r="T17" i="1"/>
  <c r="S17" i="1"/>
  <c r="R17" i="1"/>
  <c r="W16" i="1"/>
  <c r="V16" i="1"/>
  <c r="U16" i="1"/>
  <c r="T16" i="1"/>
  <c r="S16" i="1"/>
  <c r="R16" i="1"/>
  <c r="W15" i="1"/>
  <c r="V15" i="1"/>
  <c r="U15" i="1"/>
  <c r="T15" i="1"/>
  <c r="S15" i="1"/>
  <c r="R15" i="1"/>
  <c r="W14" i="1"/>
  <c r="V14" i="1"/>
  <c r="U14" i="1"/>
  <c r="T14" i="1"/>
  <c r="S14" i="1"/>
  <c r="R14" i="1"/>
  <c r="W13" i="1"/>
  <c r="V13" i="1"/>
  <c r="U13" i="1"/>
  <c r="T13" i="1"/>
  <c r="S13" i="1"/>
  <c r="R13" i="1"/>
  <c r="W12" i="1"/>
  <c r="V12" i="1"/>
  <c r="U12" i="1"/>
  <c r="T12" i="1"/>
  <c r="S12" i="1"/>
  <c r="R12" i="1"/>
  <c r="W11" i="1"/>
  <c r="V11" i="1"/>
  <c r="U11" i="1"/>
  <c r="T11" i="1"/>
  <c r="S11" i="1"/>
  <c r="R11" i="1"/>
  <c r="W10" i="1"/>
  <c r="V10" i="1"/>
  <c r="U10" i="1"/>
  <c r="T10" i="1"/>
  <c r="S10" i="1"/>
  <c r="R10" i="1"/>
  <c r="W9" i="1"/>
  <c r="V9" i="1"/>
  <c r="U9" i="1"/>
  <c r="T9" i="1"/>
  <c r="S9" i="1"/>
  <c r="R9" i="1"/>
  <c r="W8" i="1"/>
  <c r="V8" i="1"/>
  <c r="U8" i="1"/>
  <c r="T8" i="1"/>
  <c r="S8" i="1"/>
  <c r="R8" i="1"/>
  <c r="W7" i="1"/>
  <c r="V7" i="1"/>
  <c r="U7" i="1"/>
  <c r="T7" i="1"/>
  <c r="S7" i="1"/>
  <c r="R7" i="1"/>
  <c r="W6" i="1"/>
  <c r="V6" i="1"/>
  <c r="U6" i="1"/>
  <c r="T6" i="1"/>
  <c r="S6" i="1"/>
  <c r="R6" i="1"/>
  <c r="W5" i="1"/>
  <c r="V5" i="1"/>
  <c r="U5" i="1"/>
  <c r="T5" i="1"/>
  <c r="S5" i="1"/>
  <c r="R5" i="1"/>
  <c r="W4" i="1"/>
  <c r="V4" i="1"/>
  <c r="U4" i="1"/>
  <c r="T4" i="1"/>
  <c r="S4" i="1"/>
  <c r="R4" i="1"/>
  <c r="W3" i="1"/>
  <c r="V3" i="1"/>
  <c r="U3" i="1"/>
  <c r="T3" i="1"/>
  <c r="S3" i="1"/>
  <c r="R3" i="1"/>
  <c r="W2" i="1"/>
  <c r="V2" i="1"/>
  <c r="U2" i="1"/>
  <c r="T2" i="1"/>
  <c r="S2" i="1"/>
  <c r="R2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G15" i="1" s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G11" i="1" l="1"/>
  <c r="H15" i="1"/>
  <c r="H27" i="1"/>
  <c r="I27" i="1" s="1"/>
  <c r="G3" i="1"/>
  <c r="H3" i="1" s="1"/>
  <c r="I3" i="1" s="1"/>
  <c r="G23" i="1"/>
  <c r="G17" i="1"/>
  <c r="H21" i="1"/>
  <c r="I15" i="1"/>
  <c r="J15" i="1" s="1"/>
  <c r="G5" i="1"/>
  <c r="H5" i="1" s="1"/>
  <c r="G27" i="1"/>
  <c r="J27" i="1" s="1"/>
  <c r="G9" i="1"/>
  <c r="H23" i="1"/>
  <c r="G25" i="1"/>
  <c r="G13" i="1"/>
  <c r="H19" i="1"/>
  <c r="G7" i="1"/>
  <c r="G21" i="1"/>
  <c r="G4" i="1"/>
  <c r="G6" i="1"/>
  <c r="G10" i="1"/>
  <c r="G12" i="1"/>
  <c r="G14" i="1"/>
  <c r="G18" i="1"/>
  <c r="G22" i="1"/>
  <c r="G24" i="1"/>
  <c r="G28" i="1"/>
  <c r="H18" i="1"/>
  <c r="H28" i="1"/>
  <c r="I8" i="1"/>
  <c r="I12" i="1"/>
  <c r="J12" i="1" s="1"/>
  <c r="G19" i="1"/>
  <c r="G20" i="1"/>
  <c r="H24" i="1"/>
  <c r="I24" i="1" s="1"/>
  <c r="G8" i="1"/>
  <c r="G16" i="1"/>
  <c r="I16" i="1" s="1"/>
  <c r="J16" i="1" s="1"/>
  <c r="G26" i="1"/>
  <c r="I26" i="1" s="1"/>
  <c r="J26" i="1" s="1"/>
  <c r="H8" i="1"/>
  <c r="H12" i="1"/>
  <c r="H14" i="1"/>
  <c r="I14" i="1" s="1"/>
  <c r="J14" i="1" s="1"/>
  <c r="H16" i="1"/>
  <c r="H22" i="1"/>
  <c r="H26" i="1"/>
  <c r="G2" i="1"/>
  <c r="I5" i="1" l="1"/>
  <c r="K5" i="1" s="1"/>
  <c r="J5" i="1"/>
  <c r="K19" i="1"/>
  <c r="K26" i="1"/>
  <c r="K18" i="1"/>
  <c r="K12" i="1"/>
  <c r="K28" i="1"/>
  <c r="K15" i="1"/>
  <c r="H10" i="1"/>
  <c r="J8" i="1"/>
  <c r="K8" i="1" s="1"/>
  <c r="H4" i="1"/>
  <c r="I4" i="1" s="1"/>
  <c r="K14" i="1"/>
  <c r="J6" i="1"/>
  <c r="H13" i="1"/>
  <c r="H17" i="1"/>
  <c r="I28" i="1"/>
  <c r="H7" i="1"/>
  <c r="I21" i="1"/>
  <c r="J21" i="1" s="1"/>
  <c r="K16" i="1"/>
  <c r="K3" i="1"/>
  <c r="I23" i="1"/>
  <c r="J23" i="1" s="1"/>
  <c r="J28" i="1"/>
  <c r="I22" i="1"/>
  <c r="I11" i="1"/>
  <c r="J11" i="1" s="1"/>
  <c r="K27" i="1"/>
  <c r="J24" i="1"/>
  <c r="K24" i="1" s="1"/>
  <c r="H6" i="1"/>
  <c r="I6" i="1" s="1"/>
  <c r="I19" i="1"/>
  <c r="J19" i="1" s="1"/>
  <c r="H9" i="1"/>
  <c r="I9" i="1" s="1"/>
  <c r="H11" i="1"/>
  <c r="H20" i="1"/>
  <c r="H25" i="1"/>
  <c r="I25" i="1" s="1"/>
  <c r="I18" i="1"/>
  <c r="J18" i="1" s="1"/>
  <c r="J3" i="1"/>
  <c r="H2" i="1"/>
  <c r="K22" i="1" l="1"/>
  <c r="K11" i="1"/>
  <c r="J13" i="1"/>
  <c r="J22" i="1"/>
  <c r="J25" i="1"/>
  <c r="I20" i="1"/>
  <c r="K13" i="1"/>
  <c r="K23" i="1"/>
  <c r="I13" i="1"/>
  <c r="K21" i="1"/>
  <c r="I10" i="1"/>
  <c r="J10" i="1" s="1"/>
  <c r="K10" i="1" s="1"/>
  <c r="I7" i="1"/>
  <c r="J7" i="1" s="1"/>
  <c r="K7" i="1"/>
  <c r="K25" i="1"/>
  <c r="I17" i="1"/>
  <c r="J17" i="1" s="1"/>
  <c r="J9" i="1"/>
  <c r="K9" i="1" s="1"/>
  <c r="J4" i="1"/>
  <c r="K4" i="1" s="1"/>
  <c r="K6" i="1"/>
  <c r="I2" i="1"/>
  <c r="J2" i="1" s="1"/>
  <c r="K20" i="1" l="1"/>
  <c r="K17" i="1"/>
  <c r="J20" i="1"/>
  <c r="K2" i="1"/>
  <c r="I45" i="2" l="1"/>
  <c r="N45" i="2"/>
  <c r="F45" i="2"/>
  <c r="L38" i="2"/>
  <c r="I38" i="2"/>
  <c r="F38" i="2"/>
  <c r="I35" i="2"/>
  <c r="F35" i="2"/>
  <c r="N46" i="2" l="1"/>
  <c r="N35" i="2"/>
  <c r="N38" i="2"/>
  <c r="N39" i="2" l="1"/>
  <c r="N42" i="2" s="1"/>
</calcChain>
</file>

<file path=xl/sharedStrings.xml><?xml version="1.0" encoding="utf-8"?>
<sst xmlns="http://schemas.openxmlformats.org/spreadsheetml/2006/main" count="482" uniqueCount="241">
  <si>
    <t>Timestamp</t>
  </si>
  <si>
    <t>Email address</t>
  </si>
  <si>
    <t>Surname and Name</t>
  </si>
  <si>
    <t>Matricula</t>
  </si>
  <si>
    <t>In free field the SPL reduces with the distance from a point source with a law of:</t>
  </si>
  <si>
    <t xml:space="preserve">In free field the SPL reduces with the distance from a line source with a law of:	</t>
  </si>
  <si>
    <t>Select only the correct statements:</t>
  </si>
  <si>
    <t xml:space="preserve">When calibrating a sound level meter using a standard calibrator what do you expect to measure?	</t>
  </si>
  <si>
    <t>A point source is located outdoors, over a reflecting plane. Measurements are made all around, at a distance of 10+F m, and the resulting average SPL is 80+E dB(A). Estimate the sound power level Lw of the sound source.</t>
  </si>
  <si>
    <t>The same source of previous exercise is placed inside a reverberant room, having a volume V=200+E*10 m³ a surface of 200+F*10 m² and an average absorption coefficient α = 0.2+D/100. Compute the average value of SPL inside the room, far from the source.</t>
  </si>
  <si>
    <t>If the source of previous exercise is placed on the reflecting floor inside the reverberant room, compute the SPL at the critical distance from the source.</t>
  </si>
  <si>
    <t>A machine produces an SPL of 90+F dB at 50+F*10 Hz. Compute the A-weighted SPL</t>
  </si>
  <si>
    <t>giorgio.lodigiani@studenti.unipr.it</t>
  </si>
  <si>
    <t>Lodigiani Giorgio</t>
  </si>
  <si>
    <t>6 dB/ doubling distance</t>
  </si>
  <si>
    <t>3 dB/ doubling distance</t>
  </si>
  <si>
    <t>• The human ears are basically sensors of the sound pressure, • An omni microphone is a sensor of sound pressure</t>
  </si>
  <si>
    <t>A sound pressure level of 94 dB</t>
  </si>
  <si>
    <t>114 dB(A)</t>
  </si>
  <si>
    <t>102.54 dB(A)</t>
  </si>
  <si>
    <t>105.53 dB(A)</t>
  </si>
  <si>
    <t>59.8 dB(A)</t>
  </si>
  <si>
    <t>riccardo.brunori@studenti.unipr.it</t>
  </si>
  <si>
    <t>Brunori Riccardo</t>
  </si>
  <si>
    <t>• The human ears are basically sensors of the sound pressure, • An omni microphone is a sensor of sound pressure, • A cardioid microphone is sensitive half to pressure, half to velocity</t>
  </si>
  <si>
    <t>A sound pressure having an RMS value of 1.0 Pa at 1 kHz, A sound pressure level of 94 dB, A sound pressure level of 94 dB(A)</t>
  </si>
  <si>
    <t>112.91 dB(A)</t>
  </si>
  <si>
    <t>101.70 dB(A)</t>
  </si>
  <si>
    <t>104.71  dB(A)</t>
  </si>
  <si>
    <t>73.36 dB(A)</t>
  </si>
  <si>
    <t>francesca.aimi1@studenti.unipr.it</t>
  </si>
  <si>
    <t>Aimi Francesca</t>
  </si>
  <si>
    <t>A sound pressure having an RMS value of 1.0 Pa at 1 kHz, A sound pressure level of 94 dB, A sound pressure level of 94 dB(A), A sound pressure level of 94 dB(C)</t>
  </si>
  <si>
    <t>122.1 dB(A)</t>
  </si>
  <si>
    <t>109.7 dB(A)</t>
  </si>
  <si>
    <t>112.7 dB(A)</t>
  </si>
  <si>
    <t>82.3 dB(A)</t>
  </si>
  <si>
    <t>luca.zaccardi@studenti.unipr.it</t>
  </si>
  <si>
    <t>Zaccardi Luca</t>
  </si>
  <si>
    <t>109.5 dB(A)</t>
  </si>
  <si>
    <t>98.5 dB(A)</t>
  </si>
  <si>
    <t>124.5 dB(A)</t>
  </si>
  <si>
    <t>67 dB(A)</t>
  </si>
  <si>
    <t>andrea.fois@studenti.unipr.it</t>
  </si>
  <si>
    <t>Fois Andrea</t>
  </si>
  <si>
    <t>• The human ears are basically sensors of the sound pressure, • A cardioid microphone is sensitive half to pressure, half to velocity</t>
  </si>
  <si>
    <t>117 dB(A)</t>
  </si>
  <si>
    <t>105.52 dB(A)</t>
  </si>
  <si>
    <t>108.53 dB(A)</t>
  </si>
  <si>
    <t>peninagreen.mbwilo@studenti.unipr.it</t>
  </si>
  <si>
    <t>MBWILO, PENINA</t>
  </si>
  <si>
    <t>• The human ears are basically sensors of the sound pressure</t>
  </si>
  <si>
    <t>113.52w</t>
  </si>
  <si>
    <t>95.56dB</t>
  </si>
  <si>
    <t>98.57dB</t>
  </si>
  <si>
    <t>75.9dBA</t>
  </si>
  <si>
    <t>francesco.vetere@studenti.unipr.it</t>
  </si>
  <si>
    <t>Vetere Francesco</t>
  </si>
  <si>
    <t>115.0 dB(A)</t>
  </si>
  <si>
    <t>103.3 dB(A)</t>
  </si>
  <si>
    <t>106.3 dB(A)</t>
  </si>
  <si>
    <t>77.9 dB(A)</t>
  </si>
  <si>
    <t>federico.serafini@studenti.unipr.it</t>
  </si>
  <si>
    <t>Serafini Federico</t>
  </si>
  <si>
    <t>110.98 dB(A)</t>
  </si>
  <si>
    <t>100.56 dB(A)</t>
  </si>
  <si>
    <t>103.50 dB(A)</t>
  </si>
  <si>
    <t>59.8 db(A)</t>
  </si>
  <si>
    <t>francesco.masini@studenti.unipr.it</t>
  </si>
  <si>
    <t>Masini Francesco</t>
  </si>
  <si>
    <t>A sound pressure having an RMS value of 1.0 Pa at 1 kHz, A sound pressure level of 94 dB</t>
  </si>
  <si>
    <t>120.5 dB</t>
  </si>
  <si>
    <t>109 dB</t>
  </si>
  <si>
    <t>110.5 dB</t>
  </si>
  <si>
    <t>84.2 dB(A)</t>
  </si>
  <si>
    <t>lakshmivenkatasaikumarreddy.ganta@studenti.unipr.it</t>
  </si>
  <si>
    <t>Ganta Lakshmi Venkata Sai Kumar Reddy</t>
  </si>
  <si>
    <t>• The human ears are basically sensors of the sound pressure, • An omni microphone is a sensor of sound pressure, • A cardioid microphone is a sensor of particle velocity</t>
  </si>
  <si>
    <t>111.26 dB[A]</t>
  </si>
  <si>
    <t>99.34 dB[A]</t>
  </si>
  <si>
    <t>113.39 dB[A]</t>
  </si>
  <si>
    <t>70.5 dB[A]</t>
  </si>
  <si>
    <t>matteo.cappelli@studenti.unipr.it</t>
  </si>
  <si>
    <t>CAPPELLI MATTEO</t>
  </si>
  <si>
    <t>120.3 dB(A)</t>
  </si>
  <si>
    <t>108.4 dB(A)</t>
  </si>
  <si>
    <t>136.1 dB(A)</t>
  </si>
  <si>
    <t>70.5 dB(A)</t>
  </si>
  <si>
    <t>susanna.parmigiani@studenti.unipr.it</t>
  </si>
  <si>
    <t>parmigiani susanna</t>
  </si>
  <si>
    <t>113.5 dB(A)</t>
  </si>
  <si>
    <t>100.5 dB(A)</t>
  </si>
  <si>
    <t>103.5 dB(A)</t>
  </si>
  <si>
    <t>80.2 dB(A)</t>
  </si>
  <si>
    <t>anatolij.borroni@studenti.unipr.it</t>
  </si>
  <si>
    <t>Borroni Anatolij</t>
  </si>
  <si>
    <t>A sound pressure level of 94 dB, A sound pressure level of 94 dB(A)</t>
  </si>
  <si>
    <t>101.99 dB</t>
  </si>
  <si>
    <t>91.38 dB</t>
  </si>
  <si>
    <t>93.7 dB</t>
  </si>
  <si>
    <t>behrang.mahmoudi@studenti.unipr.it</t>
  </si>
  <si>
    <t>mahmoudi behrang</t>
  </si>
  <si>
    <t>• An omni microphone is a sensor of sound pressure, • A cardioid microphone is sensitive half to pressure, half to velocity</t>
  </si>
  <si>
    <t>113.61 dB(A)</t>
  </si>
  <si>
    <t>100.84 dB(A)</t>
  </si>
  <si>
    <t>103.81 dB(A)</t>
  </si>
  <si>
    <t>80.30 dB(A)</t>
  </si>
  <si>
    <t>enrico.zoboli@studenti.unipr.it</t>
  </si>
  <si>
    <t>Zoboli Enrico</t>
  </si>
  <si>
    <t>110.3 dB(A)</t>
  </si>
  <si>
    <t>99.5 dB(A)</t>
  </si>
  <si>
    <t>102.5 dB(A)</t>
  </si>
  <si>
    <t>giulia.magnani3@studenti.unipr.it</t>
  </si>
  <si>
    <t>Magnani Giulia</t>
  </si>
  <si>
    <t>124.1 dB(A)</t>
  </si>
  <si>
    <t>111.8 dB(A)</t>
  </si>
  <si>
    <t>-17.9 dB(A)</t>
  </si>
  <si>
    <t>fabian.difeliciantonio@studenti.unipr.it</t>
  </si>
  <si>
    <t>Di Feliciantonio Fabian</t>
  </si>
  <si>
    <t>119.5 dB(A)</t>
  </si>
  <si>
    <t>75.9 dB(A)</t>
  </si>
  <si>
    <t>francesco.bernardi1@studenti.unipr.it</t>
  </si>
  <si>
    <t>Bernardi Francesco</t>
  </si>
  <si>
    <t>114.1 dB(A)</t>
  </si>
  <si>
    <t>101.2 dB(A)</t>
  </si>
  <si>
    <t>104.2 dB(A)</t>
  </si>
  <si>
    <t>alice.bolzoni1@studenti.unipr.it</t>
  </si>
  <si>
    <t>Bolzoni Alice</t>
  </si>
  <si>
    <t>• The human ears are basically sensors of the sound pressure, • An omni microphone is a sensor of sound pressure, • A cardioid microphone is a sensor of particle velocity, • A cardioid microphone is sensitive half to pressure, half to velocity</t>
  </si>
  <si>
    <t>118.598 dB(A)</t>
  </si>
  <si>
    <t>106.88 dB(A)</t>
  </si>
  <si>
    <t>109.89 dB(A)</t>
  </si>
  <si>
    <t>80.29 dB</t>
  </si>
  <si>
    <t>constantin.lozinschi@studenti.unipr.it</t>
  </si>
  <si>
    <t>Lozinschi Constantin</t>
  </si>
  <si>
    <t>121.07 dB(A)</t>
  </si>
  <si>
    <t>108.47 dB(A)</t>
  </si>
  <si>
    <t>111.48 dB(A)</t>
  </si>
  <si>
    <t>78.15 dB</t>
  </si>
  <si>
    <t>mounika.midasala@studenti.unipr.it</t>
  </si>
  <si>
    <t>YELLOJI VENKATARAKESH</t>
  </si>
  <si>
    <t>119.27 dB(A)</t>
  </si>
  <si>
    <t>106.18 dB(A)</t>
  </si>
  <si>
    <t>121.93 dB(A)</t>
  </si>
  <si>
    <t>82.9 dB(A)</t>
  </si>
  <si>
    <t>elisa.conti2@studenti.unipr.it</t>
  </si>
  <si>
    <t>Conti Elisa</t>
  </si>
  <si>
    <t>118.1 dB(A)</t>
  </si>
  <si>
    <t>106.0 dB(A)</t>
  </si>
  <si>
    <t>109.0 dB(A)</t>
  </si>
  <si>
    <t>78.1 dB(A)</t>
  </si>
  <si>
    <t>tiziana.candela@studenti.unipr.it</t>
  </si>
  <si>
    <t>Candela Tiziana</t>
  </si>
  <si>
    <t>119.6 dB(A)</t>
  </si>
  <si>
    <t>107.9 dB(A)</t>
  </si>
  <si>
    <t>110.9 dB(A)</t>
  </si>
  <si>
    <t>80.3 dB(A)</t>
  </si>
  <si>
    <t>kristian.shaka@studenti.unipr.it</t>
  </si>
  <si>
    <t>Shaka Kristian</t>
  </si>
  <si>
    <t>117.5 dB(A)</t>
  </si>
  <si>
    <t>106.5 dB(A)</t>
  </si>
  <si>
    <t>109.6 dB(A)</t>
  </si>
  <si>
    <t>michelangelo.federico@studenti.unipr.it</t>
  </si>
  <si>
    <t>Federico Michelangelo</t>
  </si>
  <si>
    <t>117.82 dB(A)</t>
  </si>
  <si>
    <t>106.30 dB(A)</t>
  </si>
  <si>
    <t>109.31 dB(A)</t>
  </si>
  <si>
    <t>63.95 dB</t>
  </si>
  <si>
    <t>Offline</t>
  </si>
  <si>
    <t>Catellani Elisa</t>
  </si>
  <si>
    <t>118.9 dB(A)</t>
  </si>
  <si>
    <t>106.6 dB(A)</t>
  </si>
  <si>
    <t>73.4 dB(A)</t>
  </si>
  <si>
    <t>Kija Frank Charles</t>
  </si>
  <si>
    <t>112.26 dB</t>
  </si>
  <si>
    <t>100.52 dB</t>
  </si>
  <si>
    <t>103.53 dB</t>
  </si>
  <si>
    <t>N.</t>
  </si>
  <si>
    <t>one answer only, mandatory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</si>
  <si>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3 dB/ m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</si>
  <si>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3 dB/ doubling distance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</si>
  <si>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6 dB/ m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</si>
  <si>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6 dB/ doubling distance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</si>
  <si>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It depends on the wind speed gradient and the temperature gradient</t>
    </r>
  </si>
  <si>
    <t>In free field the SPL reduces with the distance from a line source with a law of:</t>
  </si>
  <si>
    <t>multiple answers allowed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</si>
  <si>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human ears are basically sensors of the sound pressure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</si>
  <si>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human ears are basically sensors of the particle velocity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</si>
  <si>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An omni microphone is a sensor of sound pressure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</si>
  <si>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An omni microphone is a sensor of particle velocity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</si>
  <si>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cardioid microphone is a sensor of particle velocity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</si>
  <si>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cardioid microphone is sensitive half to pressure, half to velocity</t>
    </r>
  </si>
  <si>
    <t>When calibrating a sound level meter using a standard calibrator what do you expect to measure?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</si>
  <si>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sound pressure having an RMS value of 1.0 Pa at 1 kHz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</si>
  <si>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sound pressure level of 94 dB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</si>
  <si>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sound pressure level of 94 dB(A)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</si>
  <si>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sound pressure level of 94 dB(C)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</si>
  <si>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particle velocity level of 94 dB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</si>
  <si>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sound intensity level of 94 dB</t>
    </r>
  </si>
  <si>
    <t>write number and measurement unit</t>
  </si>
  <si>
    <t>Scores: +1 for each correct answer, -1 for each wrong answer, 0 for no answer</t>
  </si>
  <si>
    <t>1st in-class test - 25/10/2019</t>
  </si>
  <si>
    <t>Solution</t>
  </si>
  <si>
    <t>r =</t>
  </si>
  <si>
    <t>m</t>
  </si>
  <si>
    <t>SPL =</t>
  </si>
  <si>
    <t>dB(A)</t>
  </si>
  <si>
    <t>Lw = SPL + 8 + 20*log10(r) =</t>
  </si>
  <si>
    <t>V =</t>
  </si>
  <si>
    <t>m3</t>
  </si>
  <si>
    <t>S =</t>
  </si>
  <si>
    <t>m2</t>
  </si>
  <si>
    <t xml:space="preserve"> α = </t>
  </si>
  <si>
    <t>A = α *S =</t>
  </si>
  <si>
    <t>Lp,cd = Lp,riv + 3 =</t>
  </si>
  <si>
    <t>Lp,riv = Lw + 10*log10(4/A) =</t>
  </si>
  <si>
    <t>SPL,lin =</t>
  </si>
  <si>
    <t>dB</t>
  </si>
  <si>
    <t>f =</t>
  </si>
  <si>
    <t>Hz</t>
  </si>
  <si>
    <t>Aw =</t>
  </si>
  <si>
    <t>SPL,A = SPL,lin + Aw =</t>
  </si>
  <si>
    <t>A</t>
  </si>
  <si>
    <t>B</t>
  </si>
  <si>
    <t>C</t>
  </si>
  <si>
    <t>D</t>
  </si>
  <si>
    <t>E</t>
  </si>
  <si>
    <t>F</t>
  </si>
  <si>
    <t>Online bonus</t>
  </si>
  <si>
    <t>Score</t>
  </si>
  <si>
    <t>Correct Answer</t>
  </si>
  <si>
    <t>Correct Unit</t>
  </si>
  <si>
    <t>Colour markings:</t>
  </si>
  <si>
    <t>wrong or missing measurement unit (ERROR!)</t>
  </si>
  <si>
    <t>Note: 0 points if the number is still OK, -1 if the number is also wrong</t>
  </si>
  <si>
    <t>decimal comma instead of decimal dot (not error, this time)</t>
  </si>
  <si>
    <t>[ ] instead of ( ) - not error, this time</t>
  </si>
  <si>
    <t>f (Hz)</t>
  </si>
  <si>
    <t>Aw (dB)</t>
  </si>
  <si>
    <t>format error or missing space (not error, this time)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</si>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</sst>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9" formatCode="0.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w"/>
    </font>
    <font>
      <b/>
      <sz val="10"/>
      <name val="Arial"/>
      <family val="2"/>
    </font>
    <font>
      <sz val="10"/>
      <name val="Arial"/>
      <family val="2"/>
    </font>
    <font>
      <sz val="10"/>
      <color rgb="FF008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8" fillId="0" borderId="0" xfId="0" applyFont="1" applyAlignment="1"/>
    <xf numFmtId="0" fontId="6" fillId="2" borderId="0" xfId="0" applyFont="1" applyFill="1" applyAlignment="1">
      <alignment horizontal="left" vertical="center" indent="4"/>
    </xf>
    <xf numFmtId="0" fontId="0" fillId="2" borderId="0" xfId="0" applyFont="1" applyFill="1" applyAlignment="1"/>
    <xf numFmtId="0" fontId="8" fillId="0" borderId="2" xfId="0" applyFont="1" applyBorder="1" applyAlignment="1"/>
    <xf numFmtId="169" fontId="8" fillId="0" borderId="1" xfId="0" applyNumberFormat="1" applyFont="1" applyBorder="1" applyAlignme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9" fontId="9" fillId="0" borderId="0" xfId="0" applyNumberFormat="1" applyFont="1" applyAlignment="1"/>
    <xf numFmtId="0" fontId="10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169" fontId="12" fillId="0" borderId="4" xfId="0" applyNumberFormat="1" applyFont="1" applyBorder="1" applyAlignment="1">
      <alignment horizontal="center"/>
    </xf>
    <xf numFmtId="0" fontId="11" fillId="0" borderId="4" xfId="0" applyFont="1" applyBorder="1" applyAlignment="1"/>
    <xf numFmtId="0" fontId="8" fillId="0" borderId="0" xfId="0" applyFont="1" applyAlignment="1">
      <alignment horizontal="left"/>
    </xf>
    <xf numFmtId="0" fontId="2" fillId="5" borderId="0" xfId="0" applyFont="1" applyFill="1" applyAlignment="1">
      <alignment horizontal="left"/>
    </xf>
    <xf numFmtId="0" fontId="0" fillId="5" borderId="0" xfId="0" applyFont="1" applyFill="1" applyAlignment="1"/>
    <xf numFmtId="0" fontId="11" fillId="0" borderId="0" xfId="0" applyFont="1" applyFill="1" applyBorder="1" applyAlignment="1"/>
    <xf numFmtId="0" fontId="2" fillId="6" borderId="0" xfId="0" applyFont="1" applyFill="1" applyAlignment="1">
      <alignment horizontal="left"/>
    </xf>
    <xf numFmtId="0" fontId="0" fillId="6" borderId="0" xfId="0" applyFont="1" applyFill="1" applyAlignment="1"/>
    <xf numFmtId="0" fontId="2" fillId="7" borderId="0" xfId="0" applyFont="1" applyFill="1" applyAlignment="1">
      <alignment horizontal="left"/>
    </xf>
    <xf numFmtId="0" fontId="0" fillId="7" borderId="0" xfId="0" applyFont="1" applyFill="1" applyAlignment="1"/>
    <xf numFmtId="0" fontId="2" fillId="8" borderId="0" xfId="0" applyFont="1" applyFill="1" applyAlignment="1"/>
    <xf numFmtId="0" fontId="0" fillId="8" borderId="0" xfId="0" applyFont="1" applyFill="1" applyAlignment="1"/>
    <xf numFmtId="169" fontId="11" fillId="0" borderId="4" xfId="0" applyNumberFormat="1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1" fillId="5" borderId="4" xfId="0" applyFont="1" applyFill="1" applyBorder="1" applyAlignment="1"/>
    <xf numFmtId="0" fontId="2" fillId="7" borderId="4" xfId="0" applyFont="1" applyFill="1" applyBorder="1" applyAlignment="1">
      <alignment horizontal="left"/>
    </xf>
    <xf numFmtId="0" fontId="1" fillId="8" borderId="4" xfId="0" applyFont="1" applyFill="1" applyBorder="1" applyAlignment="1"/>
    <xf numFmtId="0" fontId="0" fillId="0" borderId="4" xfId="0" applyFont="1" applyBorder="1" applyAlignment="1"/>
    <xf numFmtId="0" fontId="2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" fillId="5" borderId="11" xfId="0" applyFont="1" applyFill="1" applyBorder="1" applyAlignment="1"/>
    <xf numFmtId="169" fontId="12" fillId="0" borderId="11" xfId="0" applyNumberFormat="1" applyFont="1" applyBorder="1" applyAlignment="1">
      <alignment horizontal="center"/>
    </xf>
    <xf numFmtId="0" fontId="11" fillId="0" borderId="11" xfId="0" applyFont="1" applyBorder="1" applyAlignment="1"/>
    <xf numFmtId="169" fontId="11" fillId="0" borderId="11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</cellXfs>
  <cellStyles count="1">
    <cellStyle name="Normal" xfId="0" builtinId="0"/>
  </cellStyles>
  <dxfs count="42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46</xdr:row>
      <xdr:rowOff>152400</xdr:rowOff>
    </xdr:from>
    <xdr:to>
      <xdr:col>9</xdr:col>
      <xdr:colOff>420688</xdr:colOff>
      <xdr:row>49</xdr:row>
      <xdr:rowOff>93662</xdr:rowOff>
    </xdr:to>
    <xdr:pic>
      <xdr:nvPicPr>
        <xdr:cNvPr id="6" name="Picture 5" descr="FREquationA">
          <a:extLst>
            <a:ext uri="{FF2B5EF4-FFF2-40B4-BE49-F238E27FC236}">
              <a16:creationId xmlns:a16="http://schemas.microsoft.com/office/drawing/2014/main" id="{345457FD-EC10-4CEA-BDE9-A9DAE2C2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877300"/>
          <a:ext cx="5783263" cy="42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FD3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.75" customHeight="1"/>
  <cols>
    <col min="1" max="1" width="4.28515625" style="2" customWidth="1"/>
    <col min="2" max="2" width="19" style="2" customWidth="1"/>
    <col min="3" max="3" width="47" customWidth="1"/>
    <col min="4" max="4" width="36.5703125" customWidth="1"/>
    <col min="5" max="5" width="10.140625" style="2" customWidth="1"/>
    <col min="6" max="11" width="4.140625" style="2" customWidth="1"/>
    <col min="12" max="12" width="9" style="2" customWidth="1"/>
    <col min="13" max="13" width="21.5703125" customWidth="1"/>
    <col min="14" max="14" width="7.28515625" customWidth="1"/>
    <col min="15" max="15" width="21.5703125" customWidth="1"/>
    <col min="16" max="16" width="7.28515625" customWidth="1"/>
    <col min="17" max="17" width="21.5703125" customWidth="1"/>
    <col min="18" max="23" width="3.5703125" customWidth="1"/>
    <col min="24" max="24" width="21.5703125" customWidth="1"/>
    <col min="25" max="30" width="3.42578125" customWidth="1"/>
    <col min="31" max="31" width="30.28515625" customWidth="1"/>
    <col min="32" max="32" width="8.28515625" customWidth="1"/>
    <col min="33" max="33" width="8" customWidth="1"/>
    <col min="34" max="34" width="7.85546875" customWidth="1"/>
    <col min="35" max="35" width="35" customWidth="1"/>
    <col min="36" max="38" width="8.42578125" customWidth="1"/>
    <col min="39" max="39" width="21.5703125" customWidth="1"/>
    <col min="40" max="42" width="7.85546875" customWidth="1"/>
    <col min="43" max="43" width="21.5703125" customWidth="1"/>
    <col min="44" max="44" width="7.140625" customWidth="1"/>
    <col min="45" max="45" width="8.7109375" customWidth="1"/>
    <col min="46" max="46" width="8.5703125" customWidth="1"/>
    <col min="47" max="47" width="7.42578125" customWidth="1"/>
    <col min="48" max="48" width="7.85546875" customWidth="1"/>
    <col min="49" max="49" width="10.28515625" customWidth="1"/>
    <col min="50" max="51" width="21.5703125" customWidth="1"/>
  </cols>
  <sheetData>
    <row r="1" spans="1:16384" s="16" customFormat="1" ht="110.25" customHeight="1">
      <c r="A1" s="32" t="s">
        <v>177</v>
      </c>
      <c r="B1" s="33" t="s">
        <v>0</v>
      </c>
      <c r="C1" s="34" t="s">
        <v>1</v>
      </c>
      <c r="D1" s="34" t="s">
        <v>2</v>
      </c>
      <c r="E1" s="33" t="s">
        <v>3</v>
      </c>
      <c r="F1" s="33" t="s">
        <v>222</v>
      </c>
      <c r="G1" s="33" t="s">
        <v>223</v>
      </c>
      <c r="H1" s="33" t="s">
        <v>224</v>
      </c>
      <c r="I1" s="33" t="s">
        <v>225</v>
      </c>
      <c r="J1" s="33" t="s">
        <v>226</v>
      </c>
      <c r="K1" s="33" t="s">
        <v>227</v>
      </c>
      <c r="L1" s="33" t="s">
        <v>228</v>
      </c>
      <c r="M1" s="33" t="s">
        <v>4</v>
      </c>
      <c r="N1" s="33" t="s">
        <v>229</v>
      </c>
      <c r="O1" s="33" t="s">
        <v>5</v>
      </c>
      <c r="P1" s="33" t="s">
        <v>229</v>
      </c>
      <c r="Q1" s="33" t="s">
        <v>6</v>
      </c>
      <c r="R1" s="35">
        <v>1</v>
      </c>
      <c r="S1" s="35">
        <v>-1</v>
      </c>
      <c r="T1" s="35">
        <v>1</v>
      </c>
      <c r="U1" s="35">
        <v>-1</v>
      </c>
      <c r="V1" s="35">
        <v>-1</v>
      </c>
      <c r="W1" s="35">
        <v>1</v>
      </c>
      <c r="X1" s="33" t="s">
        <v>7</v>
      </c>
      <c r="Y1" s="35">
        <v>1</v>
      </c>
      <c r="Z1" s="35">
        <v>1</v>
      </c>
      <c r="AA1" s="35">
        <v>1</v>
      </c>
      <c r="AB1" s="35">
        <v>1</v>
      </c>
      <c r="AC1" s="35">
        <v>-1</v>
      </c>
      <c r="AD1" s="35">
        <v>-1</v>
      </c>
      <c r="AE1" s="33" t="s">
        <v>8</v>
      </c>
      <c r="AF1" s="33" t="s">
        <v>230</v>
      </c>
      <c r="AG1" s="33" t="s">
        <v>231</v>
      </c>
      <c r="AH1" s="33" t="s">
        <v>229</v>
      </c>
      <c r="AI1" s="33" t="s">
        <v>9</v>
      </c>
      <c r="AJ1" s="33" t="s">
        <v>230</v>
      </c>
      <c r="AK1" s="33" t="s">
        <v>231</v>
      </c>
      <c r="AL1" s="33" t="s">
        <v>229</v>
      </c>
      <c r="AM1" s="33" t="s">
        <v>10</v>
      </c>
      <c r="AN1" s="33" t="s">
        <v>230</v>
      </c>
      <c r="AO1" s="33" t="s">
        <v>231</v>
      </c>
      <c r="AP1" s="33" t="s">
        <v>229</v>
      </c>
      <c r="AQ1" s="33" t="s">
        <v>11</v>
      </c>
      <c r="AR1" s="33" t="s">
        <v>237</v>
      </c>
      <c r="AS1" s="33" t="s">
        <v>238</v>
      </c>
      <c r="AT1" s="33" t="s">
        <v>230</v>
      </c>
      <c r="AU1" s="33" t="s">
        <v>231</v>
      </c>
      <c r="AV1" s="33" t="s">
        <v>229</v>
      </c>
      <c r="AW1" s="36" t="s">
        <v>240</v>
      </c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ht="12.75">
      <c r="A2" s="37">
        <v>1</v>
      </c>
      <c r="B2" s="38">
        <v>43763.705674305558</v>
      </c>
      <c r="C2" s="39" t="s">
        <v>12</v>
      </c>
      <c r="D2" s="39" t="s">
        <v>13</v>
      </c>
      <c r="E2" s="40">
        <v>293860</v>
      </c>
      <c r="F2" s="17">
        <f>INT(E2/100000)</f>
        <v>2</v>
      </c>
      <c r="G2" s="17">
        <f t="shared" ref="G2" si="0">INT(($E2-100000*F2)/10000)</f>
        <v>9</v>
      </c>
      <c r="H2" s="17">
        <f t="shared" ref="H2" si="1">INT(($E2-100000*F2-10000*G2)/1000)</f>
        <v>3</v>
      </c>
      <c r="I2" s="17">
        <f>INT(($E2-100000*$F2-10000*$G2-1000*$H2)/100)</f>
        <v>8</v>
      </c>
      <c r="J2" s="17">
        <f>INT(($E2-100000*$F2-10000*$G2-1000*$H2-100*$I2)/10)</f>
        <v>6</v>
      </c>
      <c r="K2" s="17">
        <f>INT(($E2-100000*$F2-10000*$G2-1000*$H2-100*$I2-10*$J2))</f>
        <v>0</v>
      </c>
      <c r="L2" s="18">
        <v>2</v>
      </c>
      <c r="M2" s="39" t="s">
        <v>14</v>
      </c>
      <c r="N2" s="18">
        <v>1</v>
      </c>
      <c r="O2" s="39" t="s">
        <v>15</v>
      </c>
      <c r="P2" s="18">
        <v>1</v>
      </c>
      <c r="Q2" s="39" t="s">
        <v>16</v>
      </c>
      <c r="R2" s="18">
        <f>IF(ISERROR(FIND("The human ears are basically sensors of the sound pressure",Q2,1)),0,R$1)</f>
        <v>1</v>
      </c>
      <c r="S2" s="18">
        <f>IF(ISERROR(FIND("The human ears are basically sensors of the particle velocity",Q2,1)),0,S$1)</f>
        <v>0</v>
      </c>
      <c r="T2" s="18">
        <f>IF(ISERROR(FIND("An omni microphone is a sensor of sound pressure",Q2,1)),0,T$1)</f>
        <v>1</v>
      </c>
      <c r="U2" s="18">
        <f>IF(ISERROR(FIND("An omni microphone is a sensor of particle velocity",Q2,1)),0,U$1)</f>
        <v>0</v>
      </c>
      <c r="V2" s="18">
        <f>IF(ISERROR(FIND("A cardioid microphone is a sensor of particle velocity",Q2,1)),0,V$1)</f>
        <v>0</v>
      </c>
      <c r="W2" s="18">
        <f>IF(ISERROR(FIND("A cardioid microphone is sensitive half to pressure, half to velocity",Q2,1)),0,W$1)</f>
        <v>0</v>
      </c>
      <c r="X2" s="39" t="s">
        <v>17</v>
      </c>
      <c r="Y2" s="18">
        <f>IF(ISERROR(FIND("A sound pressure having an RMS value of 1.0 Pa at 1 kHz",X2,1)),0,Y$1)</f>
        <v>0</v>
      </c>
      <c r="Z2" s="18">
        <f>IF(ISERROR(FIND("A sound pressure level of 94 dB",X2,1)),0,Z$1)</f>
        <v>1</v>
      </c>
      <c r="AA2" s="18">
        <f>IF(ISERROR(FIND("A sound pressure level of 94 dB(A)",X2,1)),0,AA$1)</f>
        <v>0</v>
      </c>
      <c r="AB2" s="18">
        <f>IF(ISERROR(FIND("A sound pressure level of 94 dB(C)",X2,1)),0,AB$1)</f>
        <v>0</v>
      </c>
      <c r="AC2" s="18">
        <f>IF(ISERROR(FIND("A particle velocity level of 94 dB",X2,1)),0,AC$1)</f>
        <v>0</v>
      </c>
      <c r="AD2" s="18">
        <f>IF(ISERROR(FIND("A sound intensity level",X2,1)),0,AD$1)</f>
        <v>0</v>
      </c>
      <c r="AE2" s="39" t="s">
        <v>18</v>
      </c>
      <c r="AF2" s="19">
        <f>80+J2+8+20*LOG10(10+K2)</f>
        <v>114</v>
      </c>
      <c r="AG2" s="20" t="s">
        <v>206</v>
      </c>
      <c r="AH2" s="18">
        <f>IF(AE2="",0,IF(EXACT(RIGHT(AE2,5),"dB(A)"),IF(ABS(VALUE(LEFT(AE2,FIND(" ",AE2,1)))-AF2)&lt;=0.5,1,-1),-1))</f>
        <v>1</v>
      </c>
      <c r="AI2" s="39" t="s">
        <v>19</v>
      </c>
      <c r="AJ2" s="19">
        <f>VALUE(LEFT(AE2,FIND(" ",AE2,1)))+10*LOG10(4/((200+K2*10)*(0.2+I2/100)))</f>
        <v>102.53871964321762</v>
      </c>
      <c r="AK2" s="20" t="s">
        <v>206</v>
      </c>
      <c r="AL2" s="18">
        <f>IF(AI2="",0,IF(EXACT(RIGHT(AI2,5),"dB(A)"),IF(ABS(VALUE(LEFT(AI2,FIND(" ",AI2,1)))-AJ2)&lt;=0.5,1,-1),-1))</f>
        <v>1</v>
      </c>
      <c r="AM2" s="39" t="s">
        <v>20</v>
      </c>
      <c r="AN2" s="19">
        <f>VALUE(LEFT(AI2,FIND(" ",AI2,1)))+3</f>
        <v>105.54</v>
      </c>
      <c r="AO2" s="20" t="s">
        <v>206</v>
      </c>
      <c r="AP2" s="18">
        <f>IF(AM2="",0,IF(EXACT(RIGHT(AM2,5),"dB(A)"),IF(ABS(VALUE(LEFT(AM2,FIND(" ",AM2,1)))-AN2)&lt;=0.5,1,-1),-1))</f>
        <v>1</v>
      </c>
      <c r="AQ2" s="39" t="s">
        <v>21</v>
      </c>
      <c r="AR2" s="31">
        <f>50+K2*10</f>
        <v>50</v>
      </c>
      <c r="AS2" s="31">
        <f>10*LOG10(35041384000000000*AR2^8/((20.598997^2+AR2^2)^2*(107.65265^2+AR2^2)*(737.86223^2+AR2^2)*(12194.217^2+AR2^2)^2))</f>
        <v>-30.271616464711503</v>
      </c>
      <c r="AT2" s="19">
        <f>90+K2+AS2</f>
        <v>59.728383535288501</v>
      </c>
      <c r="AU2" s="20" t="s">
        <v>206</v>
      </c>
      <c r="AV2" s="18">
        <f>IF(AQ2="",0,IF(EXACT(RIGHT(AQ2,5),"dB(A)"),IF(ABS(VALUE(LEFT(AQ2,FIND(" ",AQ2,1)))-AT2)&lt;=1,1,-1),-1))</f>
        <v>1</v>
      </c>
      <c r="AW2" s="41">
        <f>L2+N2+P2+SUM(R2:W2)+SUM(Y2:AD2)+AH2+AL2+AP2+AV2</f>
        <v>11</v>
      </c>
    </row>
    <row r="3" spans="1:16384" ht="12.75">
      <c r="A3" s="37">
        <v>2</v>
      </c>
      <c r="B3" s="38">
        <v>43763.705758136573</v>
      </c>
      <c r="C3" s="39" t="s">
        <v>22</v>
      </c>
      <c r="D3" s="39" t="s">
        <v>23</v>
      </c>
      <c r="E3" s="40">
        <v>266224</v>
      </c>
      <c r="F3" s="17">
        <f t="shared" ref="F3:F28" si="2">INT(E3/100000)</f>
        <v>2</v>
      </c>
      <c r="G3" s="17">
        <f t="shared" ref="G3:G28" si="3">INT(($E3-100000*F3)/10000)</f>
        <v>6</v>
      </c>
      <c r="H3" s="17">
        <f t="shared" ref="H3:H28" si="4">INT(($E3-100000*F3-10000*G3)/1000)</f>
        <v>6</v>
      </c>
      <c r="I3" s="17">
        <f t="shared" ref="I3:I28" si="5">INT(($E3-100000*$F3-10000*$G3-1000*$H3)/100)</f>
        <v>2</v>
      </c>
      <c r="J3" s="17">
        <f t="shared" ref="J3:J28" si="6">INT(($E3-100000*$F3-10000*$G3-1000*$H3-100*$I3)/10)</f>
        <v>2</v>
      </c>
      <c r="K3" s="17">
        <f t="shared" ref="K3:K28" si="7">INT(($E3-100000*$F3-10000*$G3-1000*$H3-100*$I3-10*$J3))</f>
        <v>4</v>
      </c>
      <c r="L3" s="18">
        <v>2</v>
      </c>
      <c r="M3" s="39" t="s">
        <v>14</v>
      </c>
      <c r="N3" s="18">
        <v>1</v>
      </c>
      <c r="O3" s="39" t="s">
        <v>15</v>
      </c>
      <c r="P3" s="18">
        <v>1</v>
      </c>
      <c r="Q3" s="39" t="s">
        <v>24</v>
      </c>
      <c r="R3" s="18">
        <f t="shared" ref="R3:R28" si="8">IF(ISERROR(FIND("The human ears are basically sensors of the sound pressure",Q3,1)),0,R$1)</f>
        <v>1</v>
      </c>
      <c r="S3" s="18">
        <f t="shared" ref="S3:S28" si="9">IF(ISERROR(FIND("The human ears are basically sensors of the particle velocity",Q3,1)),0,S$1)</f>
        <v>0</v>
      </c>
      <c r="T3" s="18">
        <f t="shared" ref="T3:T28" si="10">IF(ISERROR(FIND("An omni microphone is a sensor of sound pressure",Q3,1)),0,T$1)</f>
        <v>1</v>
      </c>
      <c r="U3" s="18">
        <f t="shared" ref="U3:U28" si="11">IF(ISERROR(FIND("An omni microphone is a sensor of particle velocity",Q3,1)),0,U$1)</f>
        <v>0</v>
      </c>
      <c r="V3" s="18">
        <f t="shared" ref="V3:V28" si="12">IF(ISERROR(FIND("A cardioid microphone is a sensor of particle velocity",Q3,1)),0,V$1)</f>
        <v>0</v>
      </c>
      <c r="W3" s="18">
        <f t="shared" ref="W3:W28" si="13">IF(ISERROR(FIND("A cardioid microphone is sensitive half to pressure, half to velocity",Q3,1)),0,W$1)</f>
        <v>1</v>
      </c>
      <c r="X3" s="39" t="s">
        <v>25</v>
      </c>
      <c r="Y3" s="18">
        <f t="shared" ref="Y3:Y28" si="14">IF(ISERROR(FIND("A sound pressure having an RMS value of 1.0 Pa at 1 kHz",X3,1)),0,Y$1)</f>
        <v>1</v>
      </c>
      <c r="Z3" s="18">
        <f t="shared" ref="Z3:Z28" si="15">IF(ISERROR(FIND("A sound pressure level of 94 dB",X3,1)),0,Z$1)</f>
        <v>1</v>
      </c>
      <c r="AA3" s="18">
        <f t="shared" ref="AA3:AA28" si="16">IF(ISERROR(FIND("A sound pressure level of 94 dB(A)",X3,1)),0,AA$1)</f>
        <v>1</v>
      </c>
      <c r="AB3" s="18">
        <f t="shared" ref="AB3:AB28" si="17">IF(ISERROR(FIND("A sound pressure level of 94 dB(C)",X3,1)),0,AB$1)</f>
        <v>0</v>
      </c>
      <c r="AC3" s="18">
        <f t="shared" ref="AC3:AC28" si="18">IF(ISERROR(FIND("A particle velocity level of 94 dB",X3,1)),0,AC$1)</f>
        <v>0</v>
      </c>
      <c r="AD3" s="18">
        <f t="shared" ref="AD3:AD28" si="19">IF(ISERROR(FIND("A sound intensity level",X3,1)),0,AD$1)</f>
        <v>0</v>
      </c>
      <c r="AE3" s="39" t="s">
        <v>26</v>
      </c>
      <c r="AF3" s="19">
        <f>80+J3+8+20*LOG10(10+K3)</f>
        <v>112.92256071356476</v>
      </c>
      <c r="AG3" s="20" t="s">
        <v>206</v>
      </c>
      <c r="AH3" s="18">
        <f>IF(AE3="",0,IF(EXACT(RIGHT(AE3,5),"dB(A)"),IF(ABS(VALUE(LEFT(AE3,FIND(" ",AE3,1)))-AF3)&lt;=0.5,1,-1),-1))</f>
        <v>1</v>
      </c>
      <c r="AI3" s="39" t="s">
        <v>27</v>
      </c>
      <c r="AJ3" s="19">
        <f t="shared" ref="AJ3:AJ28" si="20">VALUE(LEFT(AE3,FIND(" ",AE3,1)))+10*LOG10(4/((200+K3*10)*(0.2+I3/100)))</f>
        <v>101.7042606879415</v>
      </c>
      <c r="AK3" s="20" t="s">
        <v>206</v>
      </c>
      <c r="AL3" s="18">
        <f t="shared" ref="AL3:AL27" si="21">IF(AI3="",0,IF(EXACT(RIGHT(AI3,5),"dB(A)"),IF(ABS(VALUE(LEFT(AI3,FIND(" ",AI3,1)))-AJ3)&lt;=0.5,1,-1),-1))</f>
        <v>1</v>
      </c>
      <c r="AM3" s="39" t="s">
        <v>28</v>
      </c>
      <c r="AN3" s="19">
        <f t="shared" ref="AN3:AN28" si="22">VALUE(LEFT(AI3,FIND(" ",AI3,1)))+3</f>
        <v>104.7</v>
      </c>
      <c r="AO3" s="20" t="s">
        <v>206</v>
      </c>
      <c r="AP3" s="18">
        <f t="shared" ref="AP3:AP27" si="23">IF(AM3="",0,IF(EXACT(RIGHT(AM3,5),"dB(A)"),IF(ABS(VALUE(LEFT(AM3,FIND(" ",AM3,1)))-AN3)&lt;=0.5,1,-1),-1))</f>
        <v>1</v>
      </c>
      <c r="AQ3" s="39" t="s">
        <v>29</v>
      </c>
      <c r="AR3" s="31">
        <f t="shared" ref="AR3:AR28" si="24">50+K3*10</f>
        <v>90</v>
      </c>
      <c r="AS3" s="31">
        <f t="shared" ref="AS3:AS28" si="25">10*LOG10(35041384000000000*AR3^8/((20.598997^2+AR3^2)^2*(107.65265^2+AR3^2)*(737.86223^2+AR3^2)*(12194.217^2+AR3^2)^2))</f>
        <v>-20.640509795312138</v>
      </c>
      <c r="AT3" s="19">
        <f t="shared" ref="AT3:AT28" si="26">90+K3+AS3</f>
        <v>73.359490204687859</v>
      </c>
      <c r="AU3" s="20" t="s">
        <v>206</v>
      </c>
      <c r="AV3" s="18">
        <f t="shared" ref="AV3:AV28" si="27">IF(AQ3="",0,IF(EXACT(RIGHT(AQ3,5),"dB(A)"),IF(ABS(VALUE(LEFT(AQ3,FIND(" ",AQ3,1)))-AT3)&lt;=1,1,-1),-1))</f>
        <v>1</v>
      </c>
      <c r="AW3" s="41">
        <f t="shared" ref="AW3:AW28" si="28">L3+N3+P3+SUM(R3:W3)+SUM(Y3:AD3)+AH3+AL3+AP3+AV3</f>
        <v>14</v>
      </c>
    </row>
    <row r="4" spans="1:16384" ht="12.75">
      <c r="A4" s="37">
        <v>3</v>
      </c>
      <c r="B4" s="38">
        <v>43763.705893668986</v>
      </c>
      <c r="C4" s="39" t="s">
        <v>30</v>
      </c>
      <c r="D4" s="39" t="s">
        <v>31</v>
      </c>
      <c r="E4" s="40">
        <v>302598</v>
      </c>
      <c r="F4" s="17">
        <f t="shared" si="2"/>
        <v>3</v>
      </c>
      <c r="G4" s="17">
        <f t="shared" si="3"/>
        <v>0</v>
      </c>
      <c r="H4" s="17">
        <f t="shared" si="4"/>
        <v>2</v>
      </c>
      <c r="I4" s="17">
        <f t="shared" si="5"/>
        <v>5</v>
      </c>
      <c r="J4" s="17">
        <f t="shared" si="6"/>
        <v>9</v>
      </c>
      <c r="K4" s="17">
        <f t="shared" si="7"/>
        <v>8</v>
      </c>
      <c r="L4" s="18">
        <v>2</v>
      </c>
      <c r="M4" s="39" t="s">
        <v>14</v>
      </c>
      <c r="N4" s="18">
        <v>1</v>
      </c>
      <c r="O4" s="39" t="s">
        <v>15</v>
      </c>
      <c r="P4" s="18">
        <v>1</v>
      </c>
      <c r="Q4" s="39" t="s">
        <v>24</v>
      </c>
      <c r="R4" s="18">
        <f t="shared" si="8"/>
        <v>1</v>
      </c>
      <c r="S4" s="18">
        <f t="shared" si="9"/>
        <v>0</v>
      </c>
      <c r="T4" s="18">
        <f t="shared" si="10"/>
        <v>1</v>
      </c>
      <c r="U4" s="18">
        <f t="shared" si="11"/>
        <v>0</v>
      </c>
      <c r="V4" s="18">
        <f t="shared" si="12"/>
        <v>0</v>
      </c>
      <c r="W4" s="18">
        <f t="shared" si="13"/>
        <v>1</v>
      </c>
      <c r="X4" s="39" t="s">
        <v>32</v>
      </c>
      <c r="Y4" s="18">
        <f t="shared" si="14"/>
        <v>1</v>
      </c>
      <c r="Z4" s="18">
        <f t="shared" si="15"/>
        <v>1</v>
      </c>
      <c r="AA4" s="18">
        <f t="shared" si="16"/>
        <v>1</v>
      </c>
      <c r="AB4" s="18">
        <f t="shared" si="17"/>
        <v>1</v>
      </c>
      <c r="AC4" s="18">
        <f t="shared" si="18"/>
        <v>0</v>
      </c>
      <c r="AD4" s="18">
        <f t="shared" si="19"/>
        <v>0</v>
      </c>
      <c r="AE4" s="39" t="s">
        <v>33</v>
      </c>
      <c r="AF4" s="19">
        <f t="shared" ref="AF4:AF28" si="29">80+J4+8+20*LOG10(10+K4)</f>
        <v>122.10545010206613</v>
      </c>
      <c r="AG4" s="20" t="s">
        <v>206</v>
      </c>
      <c r="AH4" s="18">
        <f t="shared" ref="AH4:AH27" si="30">IF(AE4="",0,IF(EXACT(RIGHT(AE4,5),"dB(A)"),IF(ABS(VALUE(LEFT(AE4,FIND(" ",AE4,1)))-AF4)&lt;=0.5,1,-1),-1))</f>
        <v>1</v>
      </c>
      <c r="AI4" s="39" t="s">
        <v>34</v>
      </c>
      <c r="AJ4" s="19">
        <f t="shared" si="20"/>
        <v>109.66961951313705</v>
      </c>
      <c r="AK4" s="20" t="s">
        <v>206</v>
      </c>
      <c r="AL4" s="18">
        <f t="shared" si="21"/>
        <v>1</v>
      </c>
      <c r="AM4" s="39" t="s">
        <v>35</v>
      </c>
      <c r="AN4" s="19">
        <f t="shared" si="22"/>
        <v>112.7</v>
      </c>
      <c r="AO4" s="20" t="s">
        <v>206</v>
      </c>
      <c r="AP4" s="18">
        <f t="shared" si="23"/>
        <v>1</v>
      </c>
      <c r="AQ4" s="39" t="s">
        <v>36</v>
      </c>
      <c r="AR4" s="31">
        <f t="shared" si="24"/>
        <v>130</v>
      </c>
      <c r="AS4" s="31">
        <f t="shared" si="25"/>
        <v>-15.698037796103279</v>
      </c>
      <c r="AT4" s="19">
        <f t="shared" si="26"/>
        <v>82.301962203896721</v>
      </c>
      <c r="AU4" s="20" t="s">
        <v>206</v>
      </c>
      <c r="AV4" s="18">
        <f t="shared" si="27"/>
        <v>1</v>
      </c>
      <c r="AW4" s="41">
        <f t="shared" si="28"/>
        <v>15</v>
      </c>
    </row>
    <row r="5" spans="1:16384" ht="12.75">
      <c r="A5" s="37">
        <v>4</v>
      </c>
      <c r="B5" s="38">
        <v>43763.705932777782</v>
      </c>
      <c r="C5" s="39" t="s">
        <v>37</v>
      </c>
      <c r="D5" s="39" t="s">
        <v>38</v>
      </c>
      <c r="E5" s="40">
        <v>265302</v>
      </c>
      <c r="F5" s="17">
        <f t="shared" si="2"/>
        <v>2</v>
      </c>
      <c r="G5" s="17">
        <f t="shared" si="3"/>
        <v>6</v>
      </c>
      <c r="H5" s="17">
        <f t="shared" si="4"/>
        <v>5</v>
      </c>
      <c r="I5" s="17">
        <f t="shared" si="5"/>
        <v>3</v>
      </c>
      <c r="J5" s="17">
        <f t="shared" si="6"/>
        <v>0</v>
      </c>
      <c r="K5" s="17">
        <f t="shared" si="7"/>
        <v>2</v>
      </c>
      <c r="L5" s="18">
        <v>2</v>
      </c>
      <c r="M5" s="39" t="s">
        <v>14</v>
      </c>
      <c r="N5" s="18">
        <v>1</v>
      </c>
      <c r="O5" s="39" t="s">
        <v>15</v>
      </c>
      <c r="P5" s="18">
        <v>1</v>
      </c>
      <c r="Q5" s="39" t="s">
        <v>24</v>
      </c>
      <c r="R5" s="18">
        <f t="shared" si="8"/>
        <v>1</v>
      </c>
      <c r="S5" s="18">
        <f t="shared" si="9"/>
        <v>0</v>
      </c>
      <c r="T5" s="18">
        <f t="shared" si="10"/>
        <v>1</v>
      </c>
      <c r="U5" s="18">
        <f t="shared" si="11"/>
        <v>0</v>
      </c>
      <c r="V5" s="18">
        <f t="shared" si="12"/>
        <v>0</v>
      </c>
      <c r="W5" s="18">
        <f t="shared" si="13"/>
        <v>1</v>
      </c>
      <c r="X5" s="39" t="s">
        <v>32</v>
      </c>
      <c r="Y5" s="18">
        <f t="shared" si="14"/>
        <v>1</v>
      </c>
      <c r="Z5" s="18">
        <f t="shared" si="15"/>
        <v>1</v>
      </c>
      <c r="AA5" s="18">
        <f t="shared" si="16"/>
        <v>1</v>
      </c>
      <c r="AB5" s="18">
        <f t="shared" si="17"/>
        <v>1</v>
      </c>
      <c r="AC5" s="18">
        <f t="shared" si="18"/>
        <v>0</v>
      </c>
      <c r="AD5" s="18">
        <f t="shared" si="19"/>
        <v>0</v>
      </c>
      <c r="AE5" s="39" t="s">
        <v>39</v>
      </c>
      <c r="AF5" s="19">
        <f t="shared" si="29"/>
        <v>109.5836249209525</v>
      </c>
      <c r="AG5" s="20" t="s">
        <v>206</v>
      </c>
      <c r="AH5" s="18">
        <f t="shared" si="30"/>
        <v>1</v>
      </c>
      <c r="AI5" s="39" t="s">
        <v>40</v>
      </c>
      <c r="AJ5" s="19">
        <f t="shared" si="20"/>
        <v>98.479094744881635</v>
      </c>
      <c r="AK5" s="20" t="s">
        <v>206</v>
      </c>
      <c r="AL5" s="18">
        <f t="shared" si="21"/>
        <v>1</v>
      </c>
      <c r="AM5" s="39" t="s">
        <v>41</v>
      </c>
      <c r="AN5" s="19">
        <f t="shared" si="22"/>
        <v>101.5</v>
      </c>
      <c r="AO5" s="20" t="s">
        <v>206</v>
      </c>
      <c r="AP5" s="18">
        <f t="shared" si="23"/>
        <v>-1</v>
      </c>
      <c r="AQ5" s="39" t="s">
        <v>42</v>
      </c>
      <c r="AR5" s="31">
        <f t="shared" si="24"/>
        <v>70</v>
      </c>
      <c r="AS5" s="31">
        <f t="shared" si="25"/>
        <v>-24.488453324827869</v>
      </c>
      <c r="AT5" s="19">
        <f t="shared" si="26"/>
        <v>67.511546675172127</v>
      </c>
      <c r="AU5" s="20" t="s">
        <v>206</v>
      </c>
      <c r="AV5" s="18">
        <f t="shared" si="27"/>
        <v>1</v>
      </c>
      <c r="AW5" s="41">
        <f t="shared" si="28"/>
        <v>13</v>
      </c>
    </row>
    <row r="6" spans="1:16384" ht="12.75">
      <c r="A6" s="37">
        <v>5</v>
      </c>
      <c r="B6" s="38">
        <v>43763.706551793977</v>
      </c>
      <c r="C6" s="39" t="s">
        <v>43</v>
      </c>
      <c r="D6" s="39" t="s">
        <v>44</v>
      </c>
      <c r="E6" s="40">
        <v>313890</v>
      </c>
      <c r="F6" s="17">
        <f t="shared" si="2"/>
        <v>3</v>
      </c>
      <c r="G6" s="17">
        <f t="shared" si="3"/>
        <v>1</v>
      </c>
      <c r="H6" s="17">
        <f t="shared" si="4"/>
        <v>3</v>
      </c>
      <c r="I6" s="17">
        <f t="shared" si="5"/>
        <v>8</v>
      </c>
      <c r="J6" s="17">
        <f t="shared" si="6"/>
        <v>9</v>
      </c>
      <c r="K6" s="17">
        <f t="shared" si="7"/>
        <v>0</v>
      </c>
      <c r="L6" s="18">
        <v>2</v>
      </c>
      <c r="M6" s="39" t="s">
        <v>14</v>
      </c>
      <c r="N6" s="18">
        <v>1</v>
      </c>
      <c r="O6" s="39" t="s">
        <v>15</v>
      </c>
      <c r="P6" s="18">
        <v>1</v>
      </c>
      <c r="Q6" s="39" t="s">
        <v>45</v>
      </c>
      <c r="R6" s="18">
        <f t="shared" si="8"/>
        <v>1</v>
      </c>
      <c r="S6" s="18">
        <f t="shared" si="9"/>
        <v>0</v>
      </c>
      <c r="T6" s="18">
        <f t="shared" si="10"/>
        <v>0</v>
      </c>
      <c r="U6" s="18">
        <f t="shared" si="11"/>
        <v>0</v>
      </c>
      <c r="V6" s="18">
        <f t="shared" si="12"/>
        <v>0</v>
      </c>
      <c r="W6" s="18">
        <f t="shared" si="13"/>
        <v>1</v>
      </c>
      <c r="X6" s="39" t="s">
        <v>32</v>
      </c>
      <c r="Y6" s="18">
        <f t="shared" si="14"/>
        <v>1</v>
      </c>
      <c r="Z6" s="18">
        <f t="shared" si="15"/>
        <v>1</v>
      </c>
      <c r="AA6" s="18">
        <f t="shared" si="16"/>
        <v>1</v>
      </c>
      <c r="AB6" s="18">
        <f t="shared" si="17"/>
        <v>1</v>
      </c>
      <c r="AC6" s="18">
        <f t="shared" si="18"/>
        <v>0</v>
      </c>
      <c r="AD6" s="18">
        <f t="shared" si="19"/>
        <v>0</v>
      </c>
      <c r="AE6" s="39" t="s">
        <v>46</v>
      </c>
      <c r="AF6" s="19">
        <f t="shared" si="29"/>
        <v>117</v>
      </c>
      <c r="AG6" s="20" t="s">
        <v>206</v>
      </c>
      <c r="AH6" s="18">
        <f t="shared" si="30"/>
        <v>1</v>
      </c>
      <c r="AI6" s="39" t="s">
        <v>47</v>
      </c>
      <c r="AJ6" s="19">
        <f t="shared" si="20"/>
        <v>105.53871964321762</v>
      </c>
      <c r="AK6" s="20" t="s">
        <v>206</v>
      </c>
      <c r="AL6" s="18">
        <f t="shared" si="21"/>
        <v>1</v>
      </c>
      <c r="AM6" s="39" t="s">
        <v>48</v>
      </c>
      <c r="AN6" s="19">
        <f t="shared" si="22"/>
        <v>108.52</v>
      </c>
      <c r="AO6" s="20" t="s">
        <v>206</v>
      </c>
      <c r="AP6" s="18">
        <f t="shared" si="23"/>
        <v>1</v>
      </c>
      <c r="AQ6" s="39" t="s">
        <v>21</v>
      </c>
      <c r="AR6" s="31">
        <f t="shared" si="24"/>
        <v>50</v>
      </c>
      <c r="AS6" s="31">
        <f t="shared" si="25"/>
        <v>-30.271616464711503</v>
      </c>
      <c r="AT6" s="19">
        <f t="shared" si="26"/>
        <v>59.728383535288501</v>
      </c>
      <c r="AU6" s="20" t="s">
        <v>206</v>
      </c>
      <c r="AV6" s="18">
        <f t="shared" si="27"/>
        <v>1</v>
      </c>
      <c r="AW6" s="41">
        <f t="shared" si="28"/>
        <v>14</v>
      </c>
    </row>
    <row r="7" spans="1:16384" ht="12.75">
      <c r="A7" s="37">
        <v>6</v>
      </c>
      <c r="B7" s="38">
        <v>43763.706741597227</v>
      </c>
      <c r="C7" s="39" t="s">
        <v>49</v>
      </c>
      <c r="D7" s="39" t="s">
        <v>50</v>
      </c>
      <c r="E7" s="40">
        <v>309625</v>
      </c>
      <c r="F7" s="17">
        <f t="shared" si="2"/>
        <v>3</v>
      </c>
      <c r="G7" s="17">
        <f t="shared" si="3"/>
        <v>0</v>
      </c>
      <c r="H7" s="17">
        <f t="shared" si="4"/>
        <v>9</v>
      </c>
      <c r="I7" s="17">
        <f t="shared" si="5"/>
        <v>6</v>
      </c>
      <c r="J7" s="17">
        <f t="shared" si="6"/>
        <v>2</v>
      </c>
      <c r="K7" s="17">
        <f t="shared" si="7"/>
        <v>5</v>
      </c>
      <c r="L7" s="18">
        <v>2</v>
      </c>
      <c r="M7" s="39" t="s">
        <v>14</v>
      </c>
      <c r="N7" s="18">
        <v>1</v>
      </c>
      <c r="O7" s="39" t="s">
        <v>15</v>
      </c>
      <c r="P7" s="18">
        <v>1</v>
      </c>
      <c r="Q7" s="39" t="s">
        <v>51</v>
      </c>
      <c r="R7" s="18">
        <f t="shared" si="8"/>
        <v>1</v>
      </c>
      <c r="S7" s="18">
        <f t="shared" si="9"/>
        <v>0</v>
      </c>
      <c r="T7" s="18">
        <f t="shared" si="10"/>
        <v>0</v>
      </c>
      <c r="U7" s="18">
        <f t="shared" si="11"/>
        <v>0</v>
      </c>
      <c r="V7" s="18">
        <f t="shared" si="12"/>
        <v>0</v>
      </c>
      <c r="W7" s="18">
        <f t="shared" si="13"/>
        <v>0</v>
      </c>
      <c r="X7" s="39" t="s">
        <v>25</v>
      </c>
      <c r="Y7" s="18">
        <f t="shared" si="14"/>
        <v>1</v>
      </c>
      <c r="Z7" s="18">
        <f t="shared" si="15"/>
        <v>1</v>
      </c>
      <c r="AA7" s="18">
        <f t="shared" si="16"/>
        <v>1</v>
      </c>
      <c r="AB7" s="18">
        <f t="shared" si="17"/>
        <v>0</v>
      </c>
      <c r="AC7" s="18">
        <f t="shared" si="18"/>
        <v>0</v>
      </c>
      <c r="AD7" s="18">
        <f t="shared" si="19"/>
        <v>0</v>
      </c>
      <c r="AE7" s="42" t="s">
        <v>52</v>
      </c>
      <c r="AF7" s="19">
        <f t="shared" si="29"/>
        <v>113.52182518111363</v>
      </c>
      <c r="AG7" s="20" t="s">
        <v>206</v>
      </c>
      <c r="AH7" s="18">
        <v>0</v>
      </c>
      <c r="AI7" s="42" t="s">
        <v>53</v>
      </c>
      <c r="AJ7" s="19">
        <f>113.52+10*LOG10(4/((200+K7*10)*(0.2+I7/100)))</f>
        <v>101.41146634685106</v>
      </c>
      <c r="AK7" s="20" t="s">
        <v>206</v>
      </c>
      <c r="AL7" s="18">
        <f t="shared" si="21"/>
        <v>-1</v>
      </c>
      <c r="AM7" s="43" t="s">
        <v>54</v>
      </c>
      <c r="AN7" s="19">
        <f>95.56+3</f>
        <v>98.56</v>
      </c>
      <c r="AO7" s="20" t="s">
        <v>206</v>
      </c>
      <c r="AP7" s="18">
        <v>0</v>
      </c>
      <c r="AQ7" s="44" t="s">
        <v>55</v>
      </c>
      <c r="AR7" s="31">
        <f t="shared" si="24"/>
        <v>100</v>
      </c>
      <c r="AS7" s="31">
        <f t="shared" si="25"/>
        <v>-19.142776737926507</v>
      </c>
      <c r="AT7" s="19">
        <f t="shared" si="26"/>
        <v>75.857223262073489</v>
      </c>
      <c r="AU7" s="20" t="s">
        <v>206</v>
      </c>
      <c r="AV7" s="18">
        <v>1</v>
      </c>
      <c r="AW7" s="41">
        <f t="shared" si="28"/>
        <v>8</v>
      </c>
    </row>
    <row r="8" spans="1:16384" ht="12.75">
      <c r="A8" s="37">
        <v>7</v>
      </c>
      <c r="B8" s="38">
        <v>43763.707164120366</v>
      </c>
      <c r="C8" s="39" t="s">
        <v>56</v>
      </c>
      <c r="D8" s="39" t="s">
        <v>57</v>
      </c>
      <c r="E8" s="40">
        <v>313336</v>
      </c>
      <c r="F8" s="17">
        <f t="shared" si="2"/>
        <v>3</v>
      </c>
      <c r="G8" s="17">
        <f t="shared" si="3"/>
        <v>1</v>
      </c>
      <c r="H8" s="17">
        <f t="shared" si="4"/>
        <v>3</v>
      </c>
      <c r="I8" s="17">
        <f t="shared" si="5"/>
        <v>3</v>
      </c>
      <c r="J8" s="17">
        <f t="shared" si="6"/>
        <v>3</v>
      </c>
      <c r="K8" s="17">
        <f t="shared" si="7"/>
        <v>6</v>
      </c>
      <c r="L8" s="18">
        <v>2</v>
      </c>
      <c r="M8" s="39" t="s">
        <v>14</v>
      </c>
      <c r="N8" s="18">
        <v>1</v>
      </c>
      <c r="O8" s="39" t="s">
        <v>15</v>
      </c>
      <c r="P8" s="18">
        <v>1</v>
      </c>
      <c r="Q8" s="39" t="s">
        <v>45</v>
      </c>
      <c r="R8" s="18">
        <f t="shared" si="8"/>
        <v>1</v>
      </c>
      <c r="S8" s="18">
        <f t="shared" si="9"/>
        <v>0</v>
      </c>
      <c r="T8" s="18">
        <f t="shared" si="10"/>
        <v>0</v>
      </c>
      <c r="U8" s="18">
        <f t="shared" si="11"/>
        <v>0</v>
      </c>
      <c r="V8" s="18">
        <f t="shared" si="12"/>
        <v>0</v>
      </c>
      <c r="W8" s="18">
        <f t="shared" si="13"/>
        <v>1</v>
      </c>
      <c r="X8" s="39" t="s">
        <v>32</v>
      </c>
      <c r="Y8" s="18">
        <f t="shared" si="14"/>
        <v>1</v>
      </c>
      <c r="Z8" s="18">
        <f t="shared" si="15"/>
        <v>1</v>
      </c>
      <c r="AA8" s="18">
        <f t="shared" si="16"/>
        <v>1</v>
      </c>
      <c r="AB8" s="18">
        <f t="shared" si="17"/>
        <v>1</v>
      </c>
      <c r="AC8" s="18">
        <f t="shared" si="18"/>
        <v>0</v>
      </c>
      <c r="AD8" s="18">
        <f t="shared" si="19"/>
        <v>0</v>
      </c>
      <c r="AE8" s="39" t="s">
        <v>58</v>
      </c>
      <c r="AF8" s="19">
        <f t="shared" si="29"/>
        <v>115.0823996531185</v>
      </c>
      <c r="AG8" s="20" t="s">
        <v>206</v>
      </c>
      <c r="AH8" s="18">
        <f t="shared" si="30"/>
        <v>1</v>
      </c>
      <c r="AI8" s="39" t="s">
        <v>59</v>
      </c>
      <c r="AJ8" s="19">
        <f t="shared" si="20"/>
        <v>103.25358807339552</v>
      </c>
      <c r="AK8" s="20" t="s">
        <v>206</v>
      </c>
      <c r="AL8" s="18">
        <f t="shared" si="21"/>
        <v>1</v>
      </c>
      <c r="AM8" s="39" t="s">
        <v>60</v>
      </c>
      <c r="AN8" s="19">
        <f t="shared" si="22"/>
        <v>106.3</v>
      </c>
      <c r="AO8" s="20" t="s">
        <v>206</v>
      </c>
      <c r="AP8" s="18">
        <f t="shared" si="23"/>
        <v>1</v>
      </c>
      <c r="AQ8" s="39" t="s">
        <v>61</v>
      </c>
      <c r="AR8" s="31">
        <f t="shared" si="24"/>
        <v>110</v>
      </c>
      <c r="AS8" s="31">
        <f t="shared" si="25"/>
        <v>-17.845171808503995</v>
      </c>
      <c r="AT8" s="19">
        <f t="shared" si="26"/>
        <v>78.154828191496009</v>
      </c>
      <c r="AU8" s="20" t="s">
        <v>206</v>
      </c>
      <c r="AV8" s="18">
        <f t="shared" si="27"/>
        <v>1</v>
      </c>
      <c r="AW8" s="41">
        <f t="shared" si="28"/>
        <v>14</v>
      </c>
    </row>
    <row r="9" spans="1:16384" ht="12.75">
      <c r="A9" s="37">
        <v>8</v>
      </c>
      <c r="B9" s="38">
        <v>43763.707453055555</v>
      </c>
      <c r="C9" s="39" t="s">
        <v>62</v>
      </c>
      <c r="D9" s="39" t="s">
        <v>63</v>
      </c>
      <c r="E9" s="40">
        <v>274230</v>
      </c>
      <c r="F9" s="17">
        <f t="shared" si="2"/>
        <v>2</v>
      </c>
      <c r="G9" s="17">
        <f t="shared" si="3"/>
        <v>7</v>
      </c>
      <c r="H9" s="17">
        <f t="shared" si="4"/>
        <v>4</v>
      </c>
      <c r="I9" s="17">
        <f t="shared" si="5"/>
        <v>2</v>
      </c>
      <c r="J9" s="17">
        <f t="shared" si="6"/>
        <v>3</v>
      </c>
      <c r="K9" s="17">
        <f t="shared" si="7"/>
        <v>0</v>
      </c>
      <c r="L9" s="18">
        <v>2</v>
      </c>
      <c r="M9" s="39" t="s">
        <v>14</v>
      </c>
      <c r="N9" s="18">
        <v>1</v>
      </c>
      <c r="O9" s="39" t="s">
        <v>15</v>
      </c>
      <c r="P9" s="18">
        <v>1</v>
      </c>
      <c r="Q9" s="39" t="s">
        <v>45</v>
      </c>
      <c r="R9" s="18">
        <f t="shared" si="8"/>
        <v>1</v>
      </c>
      <c r="S9" s="18">
        <f t="shared" si="9"/>
        <v>0</v>
      </c>
      <c r="T9" s="18">
        <f t="shared" si="10"/>
        <v>0</v>
      </c>
      <c r="U9" s="18">
        <f t="shared" si="11"/>
        <v>0</v>
      </c>
      <c r="V9" s="18">
        <f t="shared" si="12"/>
        <v>0</v>
      </c>
      <c r="W9" s="18">
        <f t="shared" si="13"/>
        <v>1</v>
      </c>
      <c r="X9" s="39" t="s">
        <v>32</v>
      </c>
      <c r="Y9" s="18">
        <f t="shared" si="14"/>
        <v>1</v>
      </c>
      <c r="Z9" s="18">
        <f t="shared" si="15"/>
        <v>1</v>
      </c>
      <c r="AA9" s="18">
        <f t="shared" si="16"/>
        <v>1</v>
      </c>
      <c r="AB9" s="18">
        <f t="shared" si="17"/>
        <v>1</v>
      </c>
      <c r="AC9" s="18">
        <f t="shared" si="18"/>
        <v>0</v>
      </c>
      <c r="AD9" s="18">
        <f t="shared" si="19"/>
        <v>0</v>
      </c>
      <c r="AE9" s="39" t="s">
        <v>64</v>
      </c>
      <c r="AF9" s="19">
        <f t="shared" si="29"/>
        <v>111</v>
      </c>
      <c r="AG9" s="20" t="s">
        <v>206</v>
      </c>
      <c r="AH9" s="18">
        <f t="shared" si="30"/>
        <v>1</v>
      </c>
      <c r="AI9" s="39" t="s">
        <v>65</v>
      </c>
      <c r="AJ9" s="19">
        <f t="shared" si="20"/>
        <v>100.56607314841776</v>
      </c>
      <c r="AK9" s="20" t="s">
        <v>206</v>
      </c>
      <c r="AL9" s="18">
        <f t="shared" si="21"/>
        <v>1</v>
      </c>
      <c r="AM9" s="39" t="s">
        <v>66</v>
      </c>
      <c r="AN9" s="19">
        <f t="shared" si="22"/>
        <v>103.56</v>
      </c>
      <c r="AO9" s="20" t="s">
        <v>206</v>
      </c>
      <c r="AP9" s="18">
        <f t="shared" si="23"/>
        <v>1</v>
      </c>
      <c r="AQ9" s="44" t="s">
        <v>67</v>
      </c>
      <c r="AR9" s="31">
        <f t="shared" si="24"/>
        <v>50</v>
      </c>
      <c r="AS9" s="31">
        <f t="shared" si="25"/>
        <v>-30.271616464711503</v>
      </c>
      <c r="AT9" s="19">
        <f t="shared" si="26"/>
        <v>59.728383535288501</v>
      </c>
      <c r="AU9" s="20" t="s">
        <v>206</v>
      </c>
      <c r="AV9" s="18">
        <v>1</v>
      </c>
      <c r="AW9" s="41">
        <f t="shared" si="28"/>
        <v>14</v>
      </c>
    </row>
    <row r="10" spans="1:16384" ht="12.75">
      <c r="A10" s="37">
        <v>9</v>
      </c>
      <c r="B10" s="38">
        <v>43763.707654918981</v>
      </c>
      <c r="C10" s="39" t="s">
        <v>68</v>
      </c>
      <c r="D10" s="39" t="s">
        <v>69</v>
      </c>
      <c r="E10" s="40">
        <v>304079</v>
      </c>
      <c r="F10" s="17">
        <f t="shared" si="2"/>
        <v>3</v>
      </c>
      <c r="G10" s="17">
        <f t="shared" si="3"/>
        <v>0</v>
      </c>
      <c r="H10" s="17">
        <f t="shared" si="4"/>
        <v>4</v>
      </c>
      <c r="I10" s="17">
        <f t="shared" si="5"/>
        <v>0</v>
      </c>
      <c r="J10" s="17">
        <f t="shared" si="6"/>
        <v>7</v>
      </c>
      <c r="K10" s="17">
        <f t="shared" si="7"/>
        <v>9</v>
      </c>
      <c r="L10" s="18">
        <v>2</v>
      </c>
      <c r="M10" s="39" t="s">
        <v>14</v>
      </c>
      <c r="N10" s="18">
        <v>1</v>
      </c>
      <c r="O10" s="39" t="s">
        <v>15</v>
      </c>
      <c r="P10" s="18">
        <v>1</v>
      </c>
      <c r="Q10" s="39" t="s">
        <v>16</v>
      </c>
      <c r="R10" s="18">
        <f t="shared" si="8"/>
        <v>1</v>
      </c>
      <c r="S10" s="18">
        <f t="shared" si="9"/>
        <v>0</v>
      </c>
      <c r="T10" s="18">
        <f t="shared" si="10"/>
        <v>1</v>
      </c>
      <c r="U10" s="18">
        <f t="shared" si="11"/>
        <v>0</v>
      </c>
      <c r="V10" s="18">
        <f t="shared" si="12"/>
        <v>0</v>
      </c>
      <c r="W10" s="18">
        <f t="shared" si="13"/>
        <v>0</v>
      </c>
      <c r="X10" s="39" t="s">
        <v>70</v>
      </c>
      <c r="Y10" s="18">
        <f t="shared" si="14"/>
        <v>1</v>
      </c>
      <c r="Z10" s="18">
        <f t="shared" si="15"/>
        <v>1</v>
      </c>
      <c r="AA10" s="18">
        <f t="shared" si="16"/>
        <v>0</v>
      </c>
      <c r="AB10" s="18">
        <f t="shared" si="17"/>
        <v>0</v>
      </c>
      <c r="AC10" s="18">
        <f t="shared" si="18"/>
        <v>0</v>
      </c>
      <c r="AD10" s="18">
        <f t="shared" si="19"/>
        <v>0</v>
      </c>
      <c r="AE10" s="43" t="s">
        <v>71</v>
      </c>
      <c r="AF10" s="19">
        <f t="shared" si="29"/>
        <v>120.57507201905658</v>
      </c>
      <c r="AG10" s="20" t="s">
        <v>206</v>
      </c>
      <c r="AH10" s="18">
        <v>0</v>
      </c>
      <c r="AI10" s="43" t="s">
        <v>72</v>
      </c>
      <c r="AJ10" s="19">
        <f t="shared" si="20"/>
        <v>108.88631997765026</v>
      </c>
      <c r="AK10" s="20" t="s">
        <v>206</v>
      </c>
      <c r="AL10" s="18">
        <v>0</v>
      </c>
      <c r="AM10" s="39" t="s">
        <v>73</v>
      </c>
      <c r="AN10" s="19">
        <f t="shared" si="22"/>
        <v>112</v>
      </c>
      <c r="AO10" s="20" t="s">
        <v>206</v>
      </c>
      <c r="AP10" s="18">
        <f t="shared" si="23"/>
        <v>-1</v>
      </c>
      <c r="AQ10" s="39" t="s">
        <v>74</v>
      </c>
      <c r="AR10" s="31">
        <f t="shared" si="24"/>
        <v>140</v>
      </c>
      <c r="AS10" s="31">
        <f t="shared" si="25"/>
        <v>-14.79553284292242</v>
      </c>
      <c r="AT10" s="19">
        <f t="shared" si="26"/>
        <v>84.204467157077573</v>
      </c>
      <c r="AU10" s="20" t="s">
        <v>206</v>
      </c>
      <c r="AV10" s="18">
        <f t="shared" si="27"/>
        <v>1</v>
      </c>
      <c r="AW10" s="41">
        <f t="shared" si="28"/>
        <v>8</v>
      </c>
    </row>
    <row r="11" spans="1:16384" ht="12.75">
      <c r="A11" s="37">
        <v>10</v>
      </c>
      <c r="B11" s="38">
        <v>43763.707817893519</v>
      </c>
      <c r="C11" s="39" t="s">
        <v>75</v>
      </c>
      <c r="D11" s="39" t="s">
        <v>76</v>
      </c>
      <c r="E11" s="40">
        <v>313713</v>
      </c>
      <c r="F11" s="17">
        <f t="shared" si="2"/>
        <v>3</v>
      </c>
      <c r="G11" s="17">
        <f t="shared" si="3"/>
        <v>1</v>
      </c>
      <c r="H11" s="17">
        <f t="shared" si="4"/>
        <v>3</v>
      </c>
      <c r="I11" s="17">
        <f t="shared" si="5"/>
        <v>7</v>
      </c>
      <c r="J11" s="17">
        <f t="shared" si="6"/>
        <v>1</v>
      </c>
      <c r="K11" s="17">
        <f t="shared" si="7"/>
        <v>3</v>
      </c>
      <c r="L11" s="18">
        <v>2</v>
      </c>
      <c r="M11" s="39" t="s">
        <v>14</v>
      </c>
      <c r="N11" s="18">
        <v>1</v>
      </c>
      <c r="O11" s="39" t="s">
        <v>15</v>
      </c>
      <c r="P11" s="18">
        <v>1</v>
      </c>
      <c r="Q11" s="39" t="s">
        <v>77</v>
      </c>
      <c r="R11" s="18">
        <f t="shared" si="8"/>
        <v>1</v>
      </c>
      <c r="S11" s="18">
        <f t="shared" si="9"/>
        <v>0</v>
      </c>
      <c r="T11" s="18">
        <f t="shared" si="10"/>
        <v>1</v>
      </c>
      <c r="U11" s="18">
        <f t="shared" si="11"/>
        <v>0</v>
      </c>
      <c r="V11" s="18">
        <f t="shared" si="12"/>
        <v>-1</v>
      </c>
      <c r="W11" s="18">
        <f t="shared" si="13"/>
        <v>0</v>
      </c>
      <c r="X11" s="39" t="s">
        <v>70</v>
      </c>
      <c r="Y11" s="18">
        <f t="shared" si="14"/>
        <v>1</v>
      </c>
      <c r="Z11" s="18">
        <f t="shared" si="15"/>
        <v>1</v>
      </c>
      <c r="AA11" s="18">
        <f t="shared" si="16"/>
        <v>0</v>
      </c>
      <c r="AB11" s="18">
        <f t="shared" si="17"/>
        <v>0</v>
      </c>
      <c r="AC11" s="18">
        <f t="shared" si="18"/>
        <v>0</v>
      </c>
      <c r="AD11" s="18">
        <f t="shared" si="19"/>
        <v>0</v>
      </c>
      <c r="AE11" s="45" t="s">
        <v>78</v>
      </c>
      <c r="AF11" s="19">
        <f t="shared" si="29"/>
        <v>111.27886704613674</v>
      </c>
      <c r="AG11" s="20" t="s">
        <v>206</v>
      </c>
      <c r="AH11" s="18">
        <v>1</v>
      </c>
      <c r="AI11" s="45" t="s">
        <v>79</v>
      </c>
      <c r="AJ11" s="19">
        <f t="shared" si="20"/>
        <v>99.349683911513821</v>
      </c>
      <c r="AK11" s="20" t="s">
        <v>206</v>
      </c>
      <c r="AL11" s="18">
        <v>1</v>
      </c>
      <c r="AM11" s="45" t="s">
        <v>80</v>
      </c>
      <c r="AN11" s="19">
        <f t="shared" si="22"/>
        <v>102.34</v>
      </c>
      <c r="AO11" s="20" t="s">
        <v>206</v>
      </c>
      <c r="AP11" s="18">
        <f t="shared" si="23"/>
        <v>-1</v>
      </c>
      <c r="AQ11" s="45" t="s">
        <v>81</v>
      </c>
      <c r="AR11" s="31">
        <f t="shared" si="24"/>
        <v>80</v>
      </c>
      <c r="AS11" s="31">
        <f t="shared" si="25"/>
        <v>-22.395057777136419</v>
      </c>
      <c r="AT11" s="19">
        <f t="shared" si="26"/>
        <v>70.604942222863585</v>
      </c>
      <c r="AU11" s="20" t="s">
        <v>206</v>
      </c>
      <c r="AV11" s="18">
        <v>1</v>
      </c>
      <c r="AW11" s="41">
        <f t="shared" si="28"/>
        <v>9</v>
      </c>
    </row>
    <row r="12" spans="1:16384" ht="12.75">
      <c r="A12" s="37">
        <v>11</v>
      </c>
      <c r="B12" s="38">
        <v>43763.708355115741</v>
      </c>
      <c r="C12" s="39" t="s">
        <v>82</v>
      </c>
      <c r="D12" s="39" t="s">
        <v>83</v>
      </c>
      <c r="E12" s="40">
        <v>301743</v>
      </c>
      <c r="F12" s="17">
        <f t="shared" si="2"/>
        <v>3</v>
      </c>
      <c r="G12" s="17">
        <f t="shared" si="3"/>
        <v>0</v>
      </c>
      <c r="H12" s="17">
        <f t="shared" si="4"/>
        <v>1</v>
      </c>
      <c r="I12" s="17">
        <f t="shared" si="5"/>
        <v>7</v>
      </c>
      <c r="J12" s="17">
        <f t="shared" si="6"/>
        <v>4</v>
      </c>
      <c r="K12" s="17">
        <f t="shared" si="7"/>
        <v>3</v>
      </c>
      <c r="L12" s="18">
        <v>2</v>
      </c>
      <c r="M12" s="39" t="s">
        <v>14</v>
      </c>
      <c r="N12" s="18">
        <v>1</v>
      </c>
      <c r="O12" s="39" t="s">
        <v>15</v>
      </c>
      <c r="P12" s="18">
        <v>1</v>
      </c>
      <c r="Q12" s="39" t="s">
        <v>24</v>
      </c>
      <c r="R12" s="18">
        <f t="shared" si="8"/>
        <v>1</v>
      </c>
      <c r="S12" s="18">
        <f t="shared" si="9"/>
        <v>0</v>
      </c>
      <c r="T12" s="18">
        <f t="shared" si="10"/>
        <v>1</v>
      </c>
      <c r="U12" s="18">
        <f t="shared" si="11"/>
        <v>0</v>
      </c>
      <c r="V12" s="18">
        <f t="shared" si="12"/>
        <v>0</v>
      </c>
      <c r="W12" s="18">
        <f t="shared" si="13"/>
        <v>1</v>
      </c>
      <c r="X12" s="39" t="s">
        <v>70</v>
      </c>
      <c r="Y12" s="18">
        <f t="shared" si="14"/>
        <v>1</v>
      </c>
      <c r="Z12" s="18">
        <f t="shared" si="15"/>
        <v>1</v>
      </c>
      <c r="AA12" s="18">
        <f t="shared" si="16"/>
        <v>0</v>
      </c>
      <c r="AB12" s="18">
        <f t="shared" si="17"/>
        <v>0</v>
      </c>
      <c r="AC12" s="18">
        <f t="shared" si="18"/>
        <v>0</v>
      </c>
      <c r="AD12" s="18">
        <f t="shared" si="19"/>
        <v>0</v>
      </c>
      <c r="AE12" s="39" t="s">
        <v>84</v>
      </c>
      <c r="AF12" s="19">
        <f t="shared" si="29"/>
        <v>114.27886704613674</v>
      </c>
      <c r="AG12" s="20" t="s">
        <v>206</v>
      </c>
      <c r="AH12" s="18">
        <f t="shared" si="30"/>
        <v>-1</v>
      </c>
      <c r="AI12" s="39" t="s">
        <v>85</v>
      </c>
      <c r="AJ12" s="19">
        <f t="shared" si="20"/>
        <v>108.38968391151381</v>
      </c>
      <c r="AK12" s="20" t="s">
        <v>206</v>
      </c>
      <c r="AL12" s="18">
        <f t="shared" si="21"/>
        <v>1</v>
      </c>
      <c r="AM12" s="39" t="s">
        <v>86</v>
      </c>
      <c r="AN12" s="19">
        <f t="shared" si="22"/>
        <v>111.4</v>
      </c>
      <c r="AO12" s="20" t="s">
        <v>206</v>
      </c>
      <c r="AP12" s="18">
        <f t="shared" si="23"/>
        <v>-1</v>
      </c>
      <c r="AQ12" s="39" t="s">
        <v>87</v>
      </c>
      <c r="AR12" s="31">
        <f t="shared" si="24"/>
        <v>80</v>
      </c>
      <c r="AS12" s="31">
        <f t="shared" si="25"/>
        <v>-22.395057777136419</v>
      </c>
      <c r="AT12" s="19">
        <f t="shared" si="26"/>
        <v>70.604942222863585</v>
      </c>
      <c r="AU12" s="20" t="s">
        <v>206</v>
      </c>
      <c r="AV12" s="18">
        <f t="shared" si="27"/>
        <v>1</v>
      </c>
      <c r="AW12" s="41">
        <f t="shared" si="28"/>
        <v>9</v>
      </c>
    </row>
    <row r="13" spans="1:16384" ht="12.75">
      <c r="A13" s="37">
        <v>12</v>
      </c>
      <c r="B13" s="38">
        <v>43763.708407997685</v>
      </c>
      <c r="C13" s="39" t="s">
        <v>88</v>
      </c>
      <c r="D13" s="39" t="s">
        <v>89</v>
      </c>
      <c r="E13" s="40">
        <v>293917</v>
      </c>
      <c r="F13" s="17">
        <f t="shared" si="2"/>
        <v>2</v>
      </c>
      <c r="G13" s="17">
        <f t="shared" si="3"/>
        <v>9</v>
      </c>
      <c r="H13" s="17">
        <f t="shared" si="4"/>
        <v>3</v>
      </c>
      <c r="I13" s="17">
        <f t="shared" si="5"/>
        <v>9</v>
      </c>
      <c r="J13" s="17">
        <f t="shared" si="6"/>
        <v>1</v>
      </c>
      <c r="K13" s="17">
        <f t="shared" si="7"/>
        <v>7</v>
      </c>
      <c r="L13" s="18">
        <v>2</v>
      </c>
      <c r="M13" s="39" t="s">
        <v>14</v>
      </c>
      <c r="N13" s="18">
        <v>1</v>
      </c>
      <c r="O13" s="39" t="s">
        <v>15</v>
      </c>
      <c r="P13" s="18">
        <v>1</v>
      </c>
      <c r="Q13" s="39" t="s">
        <v>24</v>
      </c>
      <c r="R13" s="18">
        <f t="shared" si="8"/>
        <v>1</v>
      </c>
      <c r="S13" s="18">
        <f t="shared" si="9"/>
        <v>0</v>
      </c>
      <c r="T13" s="18">
        <f t="shared" si="10"/>
        <v>1</v>
      </c>
      <c r="U13" s="18">
        <f t="shared" si="11"/>
        <v>0</v>
      </c>
      <c r="V13" s="18">
        <f t="shared" si="12"/>
        <v>0</v>
      </c>
      <c r="W13" s="18">
        <f t="shared" si="13"/>
        <v>1</v>
      </c>
      <c r="X13" s="39" t="s">
        <v>70</v>
      </c>
      <c r="Y13" s="18">
        <f t="shared" si="14"/>
        <v>1</v>
      </c>
      <c r="Z13" s="18">
        <f t="shared" si="15"/>
        <v>1</v>
      </c>
      <c r="AA13" s="18">
        <f t="shared" si="16"/>
        <v>0</v>
      </c>
      <c r="AB13" s="18">
        <f t="shared" si="17"/>
        <v>0</v>
      </c>
      <c r="AC13" s="18">
        <f t="shared" si="18"/>
        <v>0</v>
      </c>
      <c r="AD13" s="18">
        <f t="shared" si="19"/>
        <v>0</v>
      </c>
      <c r="AE13" s="39" t="s">
        <v>90</v>
      </c>
      <c r="AF13" s="19">
        <f t="shared" si="29"/>
        <v>113.60897842756548</v>
      </c>
      <c r="AG13" s="20" t="s">
        <v>206</v>
      </c>
      <c r="AH13" s="18">
        <f t="shared" si="30"/>
        <v>1</v>
      </c>
      <c r="AI13" s="39" t="s">
        <v>91</v>
      </c>
      <c r="AJ13" s="19">
        <f t="shared" si="20"/>
        <v>100.58298229270019</v>
      </c>
      <c r="AK13" s="20" t="s">
        <v>206</v>
      </c>
      <c r="AL13" s="18">
        <f t="shared" si="21"/>
        <v>1</v>
      </c>
      <c r="AM13" s="39" t="s">
        <v>92</v>
      </c>
      <c r="AN13" s="19">
        <f t="shared" si="22"/>
        <v>103.5</v>
      </c>
      <c r="AO13" s="20" t="s">
        <v>206</v>
      </c>
      <c r="AP13" s="18">
        <f t="shared" si="23"/>
        <v>1</v>
      </c>
      <c r="AQ13" s="39" t="s">
        <v>93</v>
      </c>
      <c r="AR13" s="31">
        <f t="shared" si="24"/>
        <v>120</v>
      </c>
      <c r="AS13" s="31">
        <f t="shared" si="25"/>
        <v>-16.706971814578953</v>
      </c>
      <c r="AT13" s="19">
        <f t="shared" si="26"/>
        <v>80.293028185421051</v>
      </c>
      <c r="AU13" s="20" t="s">
        <v>206</v>
      </c>
      <c r="AV13" s="18">
        <f t="shared" si="27"/>
        <v>1</v>
      </c>
      <c r="AW13" s="41">
        <f t="shared" si="28"/>
        <v>13</v>
      </c>
    </row>
    <row r="14" spans="1:16384" ht="12.75">
      <c r="A14" s="37">
        <v>13</v>
      </c>
      <c r="B14" s="38">
        <v>43763.708545914356</v>
      </c>
      <c r="C14" s="39" t="s">
        <v>94</v>
      </c>
      <c r="D14" s="39" t="s">
        <v>95</v>
      </c>
      <c r="E14" s="40">
        <v>286350</v>
      </c>
      <c r="F14" s="17">
        <f t="shared" si="2"/>
        <v>2</v>
      </c>
      <c r="G14" s="17">
        <f t="shared" si="3"/>
        <v>8</v>
      </c>
      <c r="H14" s="17">
        <f t="shared" si="4"/>
        <v>6</v>
      </c>
      <c r="I14" s="17">
        <f t="shared" si="5"/>
        <v>3</v>
      </c>
      <c r="J14" s="17">
        <f t="shared" si="6"/>
        <v>5</v>
      </c>
      <c r="K14" s="17">
        <f t="shared" si="7"/>
        <v>0</v>
      </c>
      <c r="L14" s="18">
        <v>2</v>
      </c>
      <c r="M14" s="39" t="s">
        <v>14</v>
      </c>
      <c r="N14" s="18">
        <v>1</v>
      </c>
      <c r="O14" s="39" t="s">
        <v>15</v>
      </c>
      <c r="P14" s="18">
        <v>1</v>
      </c>
      <c r="Q14" s="39" t="s">
        <v>16</v>
      </c>
      <c r="R14" s="18">
        <f t="shared" si="8"/>
        <v>1</v>
      </c>
      <c r="S14" s="18">
        <f t="shared" si="9"/>
        <v>0</v>
      </c>
      <c r="T14" s="18">
        <f t="shared" si="10"/>
        <v>1</v>
      </c>
      <c r="U14" s="18">
        <f t="shared" si="11"/>
        <v>0</v>
      </c>
      <c r="V14" s="18">
        <f t="shared" si="12"/>
        <v>0</v>
      </c>
      <c r="W14" s="18">
        <f t="shared" si="13"/>
        <v>0</v>
      </c>
      <c r="X14" s="39" t="s">
        <v>96</v>
      </c>
      <c r="Y14" s="18">
        <f t="shared" si="14"/>
        <v>0</v>
      </c>
      <c r="Z14" s="18">
        <f t="shared" si="15"/>
        <v>1</v>
      </c>
      <c r="AA14" s="18">
        <f t="shared" si="16"/>
        <v>1</v>
      </c>
      <c r="AB14" s="18">
        <f t="shared" si="17"/>
        <v>0</v>
      </c>
      <c r="AC14" s="18">
        <f t="shared" si="18"/>
        <v>0</v>
      </c>
      <c r="AD14" s="18">
        <f t="shared" si="19"/>
        <v>0</v>
      </c>
      <c r="AE14" s="43" t="s">
        <v>97</v>
      </c>
      <c r="AF14" s="19">
        <f t="shared" si="29"/>
        <v>113</v>
      </c>
      <c r="AG14" s="20" t="s">
        <v>206</v>
      </c>
      <c r="AH14" s="18">
        <f t="shared" si="30"/>
        <v>-1</v>
      </c>
      <c r="AI14" s="43" t="s">
        <v>98</v>
      </c>
      <c r="AJ14" s="19">
        <f t="shared" si="20"/>
        <v>91.383021596463877</v>
      </c>
      <c r="AK14" s="20" t="s">
        <v>206</v>
      </c>
      <c r="AL14" s="18">
        <v>0</v>
      </c>
      <c r="AM14" s="39" t="s">
        <v>99</v>
      </c>
      <c r="AN14" s="19">
        <f t="shared" si="22"/>
        <v>94.38</v>
      </c>
      <c r="AO14" s="20" t="s">
        <v>206</v>
      </c>
      <c r="AP14" s="18">
        <f t="shared" si="23"/>
        <v>-1</v>
      </c>
      <c r="AQ14" s="39" t="s">
        <v>21</v>
      </c>
      <c r="AR14" s="31">
        <f t="shared" si="24"/>
        <v>50</v>
      </c>
      <c r="AS14" s="31">
        <f t="shared" si="25"/>
        <v>-30.271616464711503</v>
      </c>
      <c r="AT14" s="19">
        <f t="shared" si="26"/>
        <v>59.728383535288501</v>
      </c>
      <c r="AU14" s="20" t="s">
        <v>206</v>
      </c>
      <c r="AV14" s="18">
        <f t="shared" si="27"/>
        <v>1</v>
      </c>
      <c r="AW14" s="41">
        <f t="shared" si="28"/>
        <v>7</v>
      </c>
    </row>
    <row r="15" spans="1:16384" ht="12.75">
      <c r="A15" s="37">
        <v>14</v>
      </c>
      <c r="B15" s="38">
        <v>43763.708729791666</v>
      </c>
      <c r="C15" s="39" t="s">
        <v>100</v>
      </c>
      <c r="D15" s="39" t="s">
        <v>101</v>
      </c>
      <c r="E15" s="40">
        <v>298817</v>
      </c>
      <c r="F15" s="17">
        <f t="shared" si="2"/>
        <v>2</v>
      </c>
      <c r="G15" s="17">
        <f t="shared" si="3"/>
        <v>9</v>
      </c>
      <c r="H15" s="17">
        <f t="shared" si="4"/>
        <v>8</v>
      </c>
      <c r="I15" s="17">
        <f t="shared" si="5"/>
        <v>8</v>
      </c>
      <c r="J15" s="17">
        <f t="shared" si="6"/>
        <v>1</v>
      </c>
      <c r="K15" s="17">
        <f t="shared" si="7"/>
        <v>7</v>
      </c>
      <c r="L15" s="18">
        <v>2</v>
      </c>
      <c r="M15" s="39" t="s">
        <v>14</v>
      </c>
      <c r="N15" s="18">
        <v>1</v>
      </c>
      <c r="O15" s="39" t="s">
        <v>15</v>
      </c>
      <c r="P15" s="18">
        <v>1</v>
      </c>
      <c r="Q15" s="39" t="s">
        <v>102</v>
      </c>
      <c r="R15" s="18">
        <f t="shared" si="8"/>
        <v>0</v>
      </c>
      <c r="S15" s="18">
        <f t="shared" si="9"/>
        <v>0</v>
      </c>
      <c r="T15" s="18">
        <f t="shared" si="10"/>
        <v>1</v>
      </c>
      <c r="U15" s="18">
        <f t="shared" si="11"/>
        <v>0</v>
      </c>
      <c r="V15" s="18">
        <f t="shared" si="12"/>
        <v>0</v>
      </c>
      <c r="W15" s="18">
        <f t="shared" si="13"/>
        <v>1</v>
      </c>
      <c r="X15" s="39" t="s">
        <v>70</v>
      </c>
      <c r="Y15" s="18">
        <f t="shared" si="14"/>
        <v>1</v>
      </c>
      <c r="Z15" s="18">
        <f t="shared" si="15"/>
        <v>1</v>
      </c>
      <c r="AA15" s="18">
        <f t="shared" si="16"/>
        <v>0</v>
      </c>
      <c r="AB15" s="18">
        <f t="shared" si="17"/>
        <v>0</v>
      </c>
      <c r="AC15" s="18">
        <f t="shared" si="18"/>
        <v>0</v>
      </c>
      <c r="AD15" s="18">
        <f t="shared" si="19"/>
        <v>0</v>
      </c>
      <c r="AE15" s="39" t="s">
        <v>103</v>
      </c>
      <c r="AF15" s="19">
        <f t="shared" si="29"/>
        <v>113.60897842756548</v>
      </c>
      <c r="AG15" s="20" t="s">
        <v>206</v>
      </c>
      <c r="AH15" s="18">
        <f t="shared" si="30"/>
        <v>1</v>
      </c>
      <c r="AI15" s="39" t="s">
        <v>104</v>
      </c>
      <c r="AJ15" s="19">
        <f t="shared" si="20"/>
        <v>100.84538195826755</v>
      </c>
      <c r="AK15" s="20" t="s">
        <v>206</v>
      </c>
      <c r="AL15" s="18">
        <f t="shared" si="21"/>
        <v>1</v>
      </c>
      <c r="AM15" s="39" t="s">
        <v>105</v>
      </c>
      <c r="AN15" s="19">
        <f t="shared" si="22"/>
        <v>103.84</v>
      </c>
      <c r="AO15" s="20" t="s">
        <v>206</v>
      </c>
      <c r="AP15" s="18">
        <f t="shared" si="23"/>
        <v>1</v>
      </c>
      <c r="AQ15" s="39" t="s">
        <v>106</v>
      </c>
      <c r="AR15" s="31">
        <f t="shared" si="24"/>
        <v>120</v>
      </c>
      <c r="AS15" s="31">
        <f t="shared" si="25"/>
        <v>-16.706971814578953</v>
      </c>
      <c r="AT15" s="19">
        <f t="shared" si="26"/>
        <v>80.293028185421051</v>
      </c>
      <c r="AU15" s="20" t="s">
        <v>206</v>
      </c>
      <c r="AV15" s="18">
        <f t="shared" si="27"/>
        <v>1</v>
      </c>
      <c r="AW15" s="41">
        <f t="shared" si="28"/>
        <v>12</v>
      </c>
    </row>
    <row r="16" spans="1:16384" ht="12.75">
      <c r="A16" s="37">
        <v>15</v>
      </c>
      <c r="B16" s="38">
        <v>43763.708817384264</v>
      </c>
      <c r="C16" s="39" t="s">
        <v>107</v>
      </c>
      <c r="D16" s="39" t="s">
        <v>108</v>
      </c>
      <c r="E16" s="40">
        <v>283103</v>
      </c>
      <c r="F16" s="17">
        <f t="shared" si="2"/>
        <v>2</v>
      </c>
      <c r="G16" s="17">
        <f t="shared" si="3"/>
        <v>8</v>
      </c>
      <c r="H16" s="17">
        <f t="shared" si="4"/>
        <v>3</v>
      </c>
      <c r="I16" s="17">
        <f t="shared" si="5"/>
        <v>1</v>
      </c>
      <c r="J16" s="17">
        <f t="shared" si="6"/>
        <v>0</v>
      </c>
      <c r="K16" s="17">
        <f t="shared" si="7"/>
        <v>3</v>
      </c>
      <c r="L16" s="18">
        <v>2</v>
      </c>
      <c r="M16" s="39" t="s">
        <v>14</v>
      </c>
      <c r="N16" s="18">
        <v>1</v>
      </c>
      <c r="O16" s="39" t="s">
        <v>15</v>
      </c>
      <c r="P16" s="18">
        <v>1</v>
      </c>
      <c r="Q16" s="39" t="s">
        <v>24</v>
      </c>
      <c r="R16" s="18">
        <f t="shared" si="8"/>
        <v>1</v>
      </c>
      <c r="S16" s="18">
        <f t="shared" si="9"/>
        <v>0</v>
      </c>
      <c r="T16" s="18">
        <f t="shared" si="10"/>
        <v>1</v>
      </c>
      <c r="U16" s="18">
        <f t="shared" si="11"/>
        <v>0</v>
      </c>
      <c r="V16" s="18">
        <f t="shared" si="12"/>
        <v>0</v>
      </c>
      <c r="W16" s="18">
        <f t="shared" si="13"/>
        <v>1</v>
      </c>
      <c r="X16" s="39" t="s">
        <v>70</v>
      </c>
      <c r="Y16" s="18">
        <f t="shared" si="14"/>
        <v>1</v>
      </c>
      <c r="Z16" s="18">
        <f t="shared" si="15"/>
        <v>1</v>
      </c>
      <c r="AA16" s="18">
        <f t="shared" si="16"/>
        <v>0</v>
      </c>
      <c r="AB16" s="18">
        <f t="shared" si="17"/>
        <v>0</v>
      </c>
      <c r="AC16" s="18">
        <f t="shared" si="18"/>
        <v>0</v>
      </c>
      <c r="AD16" s="18">
        <f t="shared" si="19"/>
        <v>0</v>
      </c>
      <c r="AE16" s="39" t="s">
        <v>109</v>
      </c>
      <c r="AF16" s="19">
        <f t="shared" si="29"/>
        <v>110.27886704613674</v>
      </c>
      <c r="AG16" s="20" t="s">
        <v>206</v>
      </c>
      <c r="AH16" s="18">
        <f t="shared" si="30"/>
        <v>1</v>
      </c>
      <c r="AI16" s="39" t="s">
        <v>110</v>
      </c>
      <c r="AJ16" s="19">
        <f t="shared" si="20"/>
        <v>99.481128605764496</v>
      </c>
      <c r="AK16" s="20" t="s">
        <v>206</v>
      </c>
      <c r="AL16" s="18">
        <f t="shared" si="21"/>
        <v>1</v>
      </c>
      <c r="AM16" s="39" t="s">
        <v>111</v>
      </c>
      <c r="AN16" s="19">
        <f t="shared" si="22"/>
        <v>102.5</v>
      </c>
      <c r="AO16" s="20" t="s">
        <v>206</v>
      </c>
      <c r="AP16" s="18">
        <f t="shared" si="23"/>
        <v>1</v>
      </c>
      <c r="AQ16" s="39" t="s">
        <v>87</v>
      </c>
      <c r="AR16" s="31">
        <f t="shared" si="24"/>
        <v>80</v>
      </c>
      <c r="AS16" s="31">
        <f t="shared" si="25"/>
        <v>-22.395057777136419</v>
      </c>
      <c r="AT16" s="19">
        <f t="shared" si="26"/>
        <v>70.604942222863585</v>
      </c>
      <c r="AU16" s="20" t="s">
        <v>206</v>
      </c>
      <c r="AV16" s="18">
        <f t="shared" si="27"/>
        <v>1</v>
      </c>
      <c r="AW16" s="41">
        <f t="shared" si="28"/>
        <v>13</v>
      </c>
    </row>
    <row r="17" spans="1:49" ht="12.75">
      <c r="A17" s="37">
        <v>16</v>
      </c>
      <c r="B17" s="38">
        <v>43763.708838796301</v>
      </c>
      <c r="C17" s="39" t="s">
        <v>112</v>
      </c>
      <c r="D17" s="39" t="s">
        <v>113</v>
      </c>
      <c r="E17" s="40">
        <v>275696</v>
      </c>
      <c r="F17" s="17">
        <f t="shared" si="2"/>
        <v>2</v>
      </c>
      <c r="G17" s="17">
        <f t="shared" si="3"/>
        <v>7</v>
      </c>
      <c r="H17" s="17">
        <f t="shared" si="4"/>
        <v>5</v>
      </c>
      <c r="I17" s="17">
        <f t="shared" si="5"/>
        <v>6</v>
      </c>
      <c r="J17" s="17">
        <f t="shared" si="6"/>
        <v>9</v>
      </c>
      <c r="K17" s="17">
        <f t="shared" si="7"/>
        <v>6</v>
      </c>
      <c r="L17" s="18">
        <v>2</v>
      </c>
      <c r="M17" s="39" t="s">
        <v>14</v>
      </c>
      <c r="N17" s="18">
        <v>1</v>
      </c>
      <c r="O17" s="39" t="s">
        <v>15</v>
      </c>
      <c r="P17" s="18">
        <v>1</v>
      </c>
      <c r="Q17" s="39" t="s">
        <v>45</v>
      </c>
      <c r="R17" s="18">
        <f t="shared" si="8"/>
        <v>1</v>
      </c>
      <c r="S17" s="18">
        <f t="shared" si="9"/>
        <v>0</v>
      </c>
      <c r="T17" s="18">
        <f t="shared" si="10"/>
        <v>0</v>
      </c>
      <c r="U17" s="18">
        <f t="shared" si="11"/>
        <v>0</v>
      </c>
      <c r="V17" s="18">
        <f t="shared" si="12"/>
        <v>0</v>
      </c>
      <c r="W17" s="18">
        <f t="shared" si="13"/>
        <v>1</v>
      </c>
      <c r="X17" s="39" t="s">
        <v>32</v>
      </c>
      <c r="Y17" s="18">
        <f t="shared" si="14"/>
        <v>1</v>
      </c>
      <c r="Z17" s="18">
        <f t="shared" si="15"/>
        <v>1</v>
      </c>
      <c r="AA17" s="18">
        <f t="shared" si="16"/>
        <v>1</v>
      </c>
      <c r="AB17" s="18">
        <f t="shared" si="17"/>
        <v>1</v>
      </c>
      <c r="AC17" s="18">
        <f t="shared" si="18"/>
        <v>0</v>
      </c>
      <c r="AD17" s="18">
        <f t="shared" si="19"/>
        <v>0</v>
      </c>
      <c r="AE17" s="39" t="s">
        <v>114</v>
      </c>
      <c r="AF17" s="19">
        <f t="shared" si="29"/>
        <v>121.0823996531185</v>
      </c>
      <c r="AG17" s="20" t="s">
        <v>206</v>
      </c>
      <c r="AH17" s="18">
        <f t="shared" si="30"/>
        <v>-1</v>
      </c>
      <c r="AI17" s="39" t="s">
        <v>115</v>
      </c>
      <c r="AJ17" s="19">
        <f t="shared" si="20"/>
        <v>111.82113295386326</v>
      </c>
      <c r="AK17" s="20" t="s">
        <v>206</v>
      </c>
      <c r="AL17" s="18">
        <f t="shared" si="21"/>
        <v>1</v>
      </c>
      <c r="AM17" s="46"/>
      <c r="AN17" s="19">
        <f t="shared" si="22"/>
        <v>114.8</v>
      </c>
      <c r="AO17" s="20" t="s">
        <v>206</v>
      </c>
      <c r="AP17" s="18">
        <f t="shared" si="23"/>
        <v>0</v>
      </c>
      <c r="AQ17" s="39" t="s">
        <v>116</v>
      </c>
      <c r="AR17" s="31">
        <f t="shared" si="24"/>
        <v>110</v>
      </c>
      <c r="AS17" s="31">
        <f t="shared" si="25"/>
        <v>-17.845171808503995</v>
      </c>
      <c r="AT17" s="19">
        <f t="shared" si="26"/>
        <v>78.154828191496009</v>
      </c>
      <c r="AU17" s="20" t="s">
        <v>206</v>
      </c>
      <c r="AV17" s="18">
        <f t="shared" si="27"/>
        <v>-1</v>
      </c>
      <c r="AW17" s="41">
        <f t="shared" si="28"/>
        <v>9</v>
      </c>
    </row>
    <row r="18" spans="1:49" ht="12.75">
      <c r="A18" s="37">
        <v>17</v>
      </c>
      <c r="B18" s="38">
        <v>43763.710285636575</v>
      </c>
      <c r="C18" s="39" t="s">
        <v>117</v>
      </c>
      <c r="D18" s="39" t="s">
        <v>118</v>
      </c>
      <c r="E18" s="40">
        <v>309185</v>
      </c>
      <c r="F18" s="17">
        <f t="shared" si="2"/>
        <v>3</v>
      </c>
      <c r="G18" s="17">
        <f t="shared" si="3"/>
        <v>0</v>
      </c>
      <c r="H18" s="17">
        <f t="shared" si="4"/>
        <v>9</v>
      </c>
      <c r="I18" s="17">
        <f t="shared" si="5"/>
        <v>1</v>
      </c>
      <c r="J18" s="17">
        <f t="shared" si="6"/>
        <v>8</v>
      </c>
      <c r="K18" s="17">
        <f t="shared" si="7"/>
        <v>5</v>
      </c>
      <c r="L18" s="18">
        <v>2</v>
      </c>
      <c r="M18" s="39" t="s">
        <v>14</v>
      </c>
      <c r="N18" s="18">
        <v>1</v>
      </c>
      <c r="O18" s="39" t="s">
        <v>15</v>
      </c>
      <c r="P18" s="18">
        <v>1</v>
      </c>
      <c r="Q18" s="46"/>
      <c r="R18" s="18">
        <f t="shared" si="8"/>
        <v>0</v>
      </c>
      <c r="S18" s="18">
        <f t="shared" si="9"/>
        <v>0</v>
      </c>
      <c r="T18" s="18">
        <f t="shared" si="10"/>
        <v>0</v>
      </c>
      <c r="U18" s="18">
        <f t="shared" si="11"/>
        <v>0</v>
      </c>
      <c r="V18" s="18">
        <f t="shared" si="12"/>
        <v>0</v>
      </c>
      <c r="W18" s="18">
        <f t="shared" si="13"/>
        <v>0</v>
      </c>
      <c r="X18" s="39" t="s">
        <v>70</v>
      </c>
      <c r="Y18" s="18">
        <f t="shared" si="14"/>
        <v>1</v>
      </c>
      <c r="Z18" s="18">
        <f t="shared" si="15"/>
        <v>1</v>
      </c>
      <c r="AA18" s="18">
        <f t="shared" si="16"/>
        <v>0</v>
      </c>
      <c r="AB18" s="18">
        <f t="shared" si="17"/>
        <v>0</v>
      </c>
      <c r="AC18" s="18">
        <f t="shared" si="18"/>
        <v>0</v>
      </c>
      <c r="AD18" s="18">
        <f t="shared" si="19"/>
        <v>0</v>
      </c>
      <c r="AE18" s="39" t="s">
        <v>119</v>
      </c>
      <c r="AF18" s="19">
        <f t="shared" si="29"/>
        <v>119.52182518111363</v>
      </c>
      <c r="AG18" s="20" t="s">
        <v>206</v>
      </c>
      <c r="AH18" s="18">
        <f t="shared" si="30"/>
        <v>1</v>
      </c>
      <c r="AI18" s="46"/>
      <c r="AJ18" s="19">
        <f t="shared" si="20"/>
        <v>108.31900687922005</v>
      </c>
      <c r="AK18" s="20" t="s">
        <v>206</v>
      </c>
      <c r="AL18" s="18">
        <f t="shared" si="21"/>
        <v>0</v>
      </c>
      <c r="AM18" s="46"/>
      <c r="AN18" s="19">
        <f>AJ18+3</f>
        <v>111.31900687922005</v>
      </c>
      <c r="AO18" s="20" t="s">
        <v>206</v>
      </c>
      <c r="AP18" s="18">
        <f t="shared" si="23"/>
        <v>0</v>
      </c>
      <c r="AQ18" s="39" t="s">
        <v>120</v>
      </c>
      <c r="AR18" s="31">
        <f t="shared" si="24"/>
        <v>100</v>
      </c>
      <c r="AS18" s="31">
        <f t="shared" si="25"/>
        <v>-19.142776737926507</v>
      </c>
      <c r="AT18" s="19">
        <f t="shared" si="26"/>
        <v>75.857223262073489</v>
      </c>
      <c r="AU18" s="20" t="s">
        <v>206</v>
      </c>
      <c r="AV18" s="18">
        <f t="shared" si="27"/>
        <v>1</v>
      </c>
      <c r="AW18" s="41">
        <f t="shared" si="28"/>
        <v>8</v>
      </c>
    </row>
    <row r="19" spans="1:49" ht="12.75">
      <c r="A19" s="37">
        <v>18</v>
      </c>
      <c r="B19" s="38">
        <v>43763.710457905094</v>
      </c>
      <c r="C19" s="39" t="s">
        <v>121</v>
      </c>
      <c r="D19" s="39" t="s">
        <v>122</v>
      </c>
      <c r="E19" s="40">
        <v>306818</v>
      </c>
      <c r="F19" s="17">
        <f t="shared" si="2"/>
        <v>3</v>
      </c>
      <c r="G19" s="17">
        <f t="shared" si="3"/>
        <v>0</v>
      </c>
      <c r="H19" s="17">
        <f t="shared" si="4"/>
        <v>6</v>
      </c>
      <c r="I19" s="17">
        <f t="shared" si="5"/>
        <v>8</v>
      </c>
      <c r="J19" s="17">
        <f t="shared" si="6"/>
        <v>1</v>
      </c>
      <c r="K19" s="17">
        <f t="shared" si="7"/>
        <v>8</v>
      </c>
      <c r="L19" s="18">
        <v>2</v>
      </c>
      <c r="M19" s="39" t="s">
        <v>14</v>
      </c>
      <c r="N19" s="18">
        <v>1</v>
      </c>
      <c r="O19" s="39" t="s">
        <v>15</v>
      </c>
      <c r="P19" s="18">
        <v>1</v>
      </c>
      <c r="Q19" s="39" t="s">
        <v>24</v>
      </c>
      <c r="R19" s="18">
        <f t="shared" si="8"/>
        <v>1</v>
      </c>
      <c r="S19" s="18">
        <f t="shared" si="9"/>
        <v>0</v>
      </c>
      <c r="T19" s="18">
        <f t="shared" si="10"/>
        <v>1</v>
      </c>
      <c r="U19" s="18">
        <f t="shared" si="11"/>
        <v>0</v>
      </c>
      <c r="V19" s="18">
        <f t="shared" si="12"/>
        <v>0</v>
      </c>
      <c r="W19" s="18">
        <f t="shared" si="13"/>
        <v>1</v>
      </c>
      <c r="X19" s="39" t="s">
        <v>70</v>
      </c>
      <c r="Y19" s="18">
        <f t="shared" si="14"/>
        <v>1</v>
      </c>
      <c r="Z19" s="18">
        <f t="shared" si="15"/>
        <v>1</v>
      </c>
      <c r="AA19" s="18">
        <f t="shared" si="16"/>
        <v>0</v>
      </c>
      <c r="AB19" s="18">
        <f t="shared" si="17"/>
        <v>0</v>
      </c>
      <c r="AC19" s="18">
        <f t="shared" si="18"/>
        <v>0</v>
      </c>
      <c r="AD19" s="18">
        <f t="shared" si="19"/>
        <v>0</v>
      </c>
      <c r="AE19" s="39" t="s">
        <v>123</v>
      </c>
      <c r="AF19" s="19">
        <f t="shared" si="29"/>
        <v>114.10545010206613</v>
      </c>
      <c r="AG19" s="20" t="s">
        <v>206</v>
      </c>
      <c r="AH19" s="18">
        <f t="shared" si="30"/>
        <v>1</v>
      </c>
      <c r="AI19" s="39" t="s">
        <v>124</v>
      </c>
      <c r="AJ19" s="19">
        <f t="shared" si="20"/>
        <v>101.17743928643523</v>
      </c>
      <c r="AK19" s="20" t="s">
        <v>206</v>
      </c>
      <c r="AL19" s="18">
        <f t="shared" si="21"/>
        <v>1</v>
      </c>
      <c r="AM19" s="39" t="s">
        <v>125</v>
      </c>
      <c r="AN19" s="19">
        <f t="shared" si="22"/>
        <v>104.2</v>
      </c>
      <c r="AO19" s="20" t="s">
        <v>206</v>
      </c>
      <c r="AP19" s="18">
        <f t="shared" si="23"/>
        <v>1</v>
      </c>
      <c r="AQ19" s="46"/>
      <c r="AR19" s="31">
        <f t="shared" si="24"/>
        <v>130</v>
      </c>
      <c r="AS19" s="31">
        <f t="shared" si="25"/>
        <v>-15.698037796103279</v>
      </c>
      <c r="AT19" s="19">
        <f t="shared" si="26"/>
        <v>82.301962203896721</v>
      </c>
      <c r="AU19" s="20" t="s">
        <v>206</v>
      </c>
      <c r="AV19" s="18">
        <f t="shared" si="27"/>
        <v>0</v>
      </c>
      <c r="AW19" s="41">
        <f t="shared" si="28"/>
        <v>12</v>
      </c>
    </row>
    <row r="20" spans="1:49" ht="12.75">
      <c r="A20" s="37">
        <v>19</v>
      </c>
      <c r="B20" s="38">
        <v>43763.711061828704</v>
      </c>
      <c r="C20" s="39" t="s">
        <v>126</v>
      </c>
      <c r="D20" s="39" t="s">
        <v>127</v>
      </c>
      <c r="E20" s="40">
        <v>259267</v>
      </c>
      <c r="F20" s="17">
        <f t="shared" si="2"/>
        <v>2</v>
      </c>
      <c r="G20" s="17">
        <f t="shared" si="3"/>
        <v>5</v>
      </c>
      <c r="H20" s="17">
        <f t="shared" si="4"/>
        <v>9</v>
      </c>
      <c r="I20" s="17">
        <f t="shared" si="5"/>
        <v>2</v>
      </c>
      <c r="J20" s="17">
        <f t="shared" si="6"/>
        <v>6</v>
      </c>
      <c r="K20" s="17">
        <f t="shared" si="7"/>
        <v>7</v>
      </c>
      <c r="L20" s="18">
        <v>2</v>
      </c>
      <c r="M20" s="39" t="s">
        <v>14</v>
      </c>
      <c r="N20" s="18">
        <v>1</v>
      </c>
      <c r="O20" s="39" t="s">
        <v>15</v>
      </c>
      <c r="P20" s="18">
        <v>1</v>
      </c>
      <c r="Q20" s="39" t="s">
        <v>128</v>
      </c>
      <c r="R20" s="18">
        <f t="shared" si="8"/>
        <v>1</v>
      </c>
      <c r="S20" s="18">
        <f t="shared" si="9"/>
        <v>0</v>
      </c>
      <c r="T20" s="18">
        <f t="shared" si="10"/>
        <v>1</v>
      </c>
      <c r="U20" s="18">
        <f t="shared" si="11"/>
        <v>0</v>
      </c>
      <c r="V20" s="18">
        <f t="shared" si="12"/>
        <v>-1</v>
      </c>
      <c r="W20" s="18">
        <f t="shared" si="13"/>
        <v>1</v>
      </c>
      <c r="X20" s="39" t="s">
        <v>70</v>
      </c>
      <c r="Y20" s="18">
        <f t="shared" si="14"/>
        <v>1</v>
      </c>
      <c r="Z20" s="18">
        <f t="shared" si="15"/>
        <v>1</v>
      </c>
      <c r="AA20" s="18">
        <f t="shared" si="16"/>
        <v>0</v>
      </c>
      <c r="AB20" s="18">
        <f t="shared" si="17"/>
        <v>0</v>
      </c>
      <c r="AC20" s="18">
        <f t="shared" si="18"/>
        <v>0</v>
      </c>
      <c r="AD20" s="18">
        <f t="shared" si="19"/>
        <v>0</v>
      </c>
      <c r="AE20" s="39" t="s">
        <v>129</v>
      </c>
      <c r="AF20" s="19">
        <f t="shared" si="29"/>
        <v>118.60897842756548</v>
      </c>
      <c r="AG20" s="20" t="s">
        <v>206</v>
      </c>
      <c r="AH20" s="18">
        <f t="shared" si="30"/>
        <v>1</v>
      </c>
      <c r="AI20" s="39" t="s">
        <v>130</v>
      </c>
      <c r="AJ20" s="19">
        <f t="shared" si="20"/>
        <v>106.88073546346769</v>
      </c>
      <c r="AK20" s="20" t="s">
        <v>206</v>
      </c>
      <c r="AL20" s="18">
        <f t="shared" si="21"/>
        <v>1</v>
      </c>
      <c r="AM20" s="39" t="s">
        <v>131</v>
      </c>
      <c r="AN20" s="19">
        <f t="shared" si="22"/>
        <v>109.88</v>
      </c>
      <c r="AO20" s="20" t="s">
        <v>206</v>
      </c>
      <c r="AP20" s="18">
        <f t="shared" si="23"/>
        <v>1</v>
      </c>
      <c r="AQ20" s="43" t="s">
        <v>132</v>
      </c>
      <c r="AR20" s="31">
        <f t="shared" si="24"/>
        <v>120</v>
      </c>
      <c r="AS20" s="31">
        <f t="shared" si="25"/>
        <v>-16.706971814578953</v>
      </c>
      <c r="AT20" s="19">
        <f t="shared" si="26"/>
        <v>80.293028185421051</v>
      </c>
      <c r="AU20" s="20" t="s">
        <v>206</v>
      </c>
      <c r="AV20" s="18">
        <v>0</v>
      </c>
      <c r="AW20" s="41">
        <f t="shared" si="28"/>
        <v>11</v>
      </c>
    </row>
    <row r="21" spans="1:49" ht="12.75">
      <c r="A21" s="37">
        <v>20</v>
      </c>
      <c r="B21" s="38">
        <v>43763.711492141199</v>
      </c>
      <c r="C21" s="39" t="s">
        <v>133</v>
      </c>
      <c r="D21" s="39" t="s">
        <v>134</v>
      </c>
      <c r="E21" s="40">
        <v>313896</v>
      </c>
      <c r="F21" s="17">
        <f t="shared" si="2"/>
        <v>3</v>
      </c>
      <c r="G21" s="17">
        <f t="shared" si="3"/>
        <v>1</v>
      </c>
      <c r="H21" s="17">
        <f t="shared" si="4"/>
        <v>3</v>
      </c>
      <c r="I21" s="17">
        <f t="shared" si="5"/>
        <v>8</v>
      </c>
      <c r="J21" s="17">
        <f t="shared" si="6"/>
        <v>9</v>
      </c>
      <c r="K21" s="17">
        <f t="shared" si="7"/>
        <v>6</v>
      </c>
      <c r="L21" s="18">
        <v>2</v>
      </c>
      <c r="M21" s="39" t="s">
        <v>14</v>
      </c>
      <c r="N21" s="18">
        <v>1</v>
      </c>
      <c r="O21" s="39" t="s">
        <v>15</v>
      </c>
      <c r="P21" s="18">
        <v>1</v>
      </c>
      <c r="Q21" s="39" t="s">
        <v>24</v>
      </c>
      <c r="R21" s="18">
        <f t="shared" si="8"/>
        <v>1</v>
      </c>
      <c r="S21" s="18">
        <f t="shared" si="9"/>
        <v>0</v>
      </c>
      <c r="T21" s="18">
        <f t="shared" si="10"/>
        <v>1</v>
      </c>
      <c r="U21" s="18">
        <f t="shared" si="11"/>
        <v>0</v>
      </c>
      <c r="V21" s="18">
        <f t="shared" si="12"/>
        <v>0</v>
      </c>
      <c r="W21" s="18">
        <f t="shared" si="13"/>
        <v>1</v>
      </c>
      <c r="X21" s="39" t="s">
        <v>70</v>
      </c>
      <c r="Y21" s="18">
        <f t="shared" si="14"/>
        <v>1</v>
      </c>
      <c r="Z21" s="18">
        <f t="shared" si="15"/>
        <v>1</v>
      </c>
      <c r="AA21" s="18">
        <f t="shared" si="16"/>
        <v>0</v>
      </c>
      <c r="AB21" s="18">
        <f t="shared" si="17"/>
        <v>0</v>
      </c>
      <c r="AC21" s="18">
        <f t="shared" si="18"/>
        <v>0</v>
      </c>
      <c r="AD21" s="18">
        <f t="shared" si="19"/>
        <v>0</v>
      </c>
      <c r="AE21" s="39" t="s">
        <v>135</v>
      </c>
      <c r="AF21" s="19">
        <f t="shared" si="29"/>
        <v>121.0823996531185</v>
      </c>
      <c r="AG21" s="20" t="s">
        <v>206</v>
      </c>
      <c r="AH21" s="18">
        <f t="shared" si="30"/>
        <v>1</v>
      </c>
      <c r="AI21" s="39" t="s">
        <v>136</v>
      </c>
      <c r="AJ21" s="19">
        <f t="shared" si="20"/>
        <v>108.46928612014925</v>
      </c>
      <c r="AK21" s="20" t="s">
        <v>206</v>
      </c>
      <c r="AL21" s="18">
        <f t="shared" si="21"/>
        <v>1</v>
      </c>
      <c r="AM21" s="39" t="s">
        <v>137</v>
      </c>
      <c r="AN21" s="19">
        <f t="shared" si="22"/>
        <v>111.47</v>
      </c>
      <c r="AO21" s="20" t="s">
        <v>206</v>
      </c>
      <c r="AP21" s="18">
        <f t="shared" si="23"/>
        <v>1</v>
      </c>
      <c r="AQ21" s="43" t="s">
        <v>138</v>
      </c>
      <c r="AR21" s="31">
        <f t="shared" si="24"/>
        <v>110</v>
      </c>
      <c r="AS21" s="31">
        <f t="shared" si="25"/>
        <v>-17.845171808503995</v>
      </c>
      <c r="AT21" s="19">
        <f t="shared" si="26"/>
        <v>78.154828191496009</v>
      </c>
      <c r="AU21" s="20" t="s">
        <v>206</v>
      </c>
      <c r="AV21" s="18">
        <v>0</v>
      </c>
      <c r="AW21" s="41">
        <f t="shared" si="28"/>
        <v>12</v>
      </c>
    </row>
    <row r="22" spans="1:49" ht="12.75">
      <c r="A22" s="37">
        <v>21</v>
      </c>
      <c r="B22" s="38">
        <v>43763.711662650458</v>
      </c>
      <c r="C22" s="39" t="s">
        <v>139</v>
      </c>
      <c r="D22" s="39" t="s">
        <v>140</v>
      </c>
      <c r="E22" s="40">
        <v>300839</v>
      </c>
      <c r="F22" s="17">
        <f t="shared" si="2"/>
        <v>3</v>
      </c>
      <c r="G22" s="17">
        <f t="shared" si="3"/>
        <v>0</v>
      </c>
      <c r="H22" s="17">
        <f t="shared" si="4"/>
        <v>0</v>
      </c>
      <c r="I22" s="17">
        <f t="shared" si="5"/>
        <v>8</v>
      </c>
      <c r="J22" s="17">
        <f t="shared" si="6"/>
        <v>3</v>
      </c>
      <c r="K22" s="17">
        <f t="shared" si="7"/>
        <v>9</v>
      </c>
      <c r="L22" s="18">
        <v>2</v>
      </c>
      <c r="M22" s="39" t="s">
        <v>14</v>
      </c>
      <c r="N22" s="18">
        <v>1</v>
      </c>
      <c r="O22" s="39" t="s">
        <v>15</v>
      </c>
      <c r="P22" s="18">
        <v>1</v>
      </c>
      <c r="Q22" s="39" t="s">
        <v>77</v>
      </c>
      <c r="R22" s="18">
        <f t="shared" si="8"/>
        <v>1</v>
      </c>
      <c r="S22" s="18">
        <f t="shared" si="9"/>
        <v>0</v>
      </c>
      <c r="T22" s="18">
        <f t="shared" si="10"/>
        <v>1</v>
      </c>
      <c r="U22" s="18">
        <f t="shared" si="11"/>
        <v>0</v>
      </c>
      <c r="V22" s="18">
        <f t="shared" si="12"/>
        <v>-1</v>
      </c>
      <c r="W22" s="18">
        <f t="shared" si="13"/>
        <v>0</v>
      </c>
      <c r="X22" s="39" t="s">
        <v>70</v>
      </c>
      <c r="Y22" s="18">
        <f t="shared" si="14"/>
        <v>1</v>
      </c>
      <c r="Z22" s="18">
        <f t="shared" si="15"/>
        <v>1</v>
      </c>
      <c r="AA22" s="18">
        <f t="shared" si="16"/>
        <v>0</v>
      </c>
      <c r="AB22" s="18">
        <f t="shared" si="17"/>
        <v>0</v>
      </c>
      <c r="AC22" s="18">
        <f t="shared" si="18"/>
        <v>0</v>
      </c>
      <c r="AD22" s="18">
        <f t="shared" si="19"/>
        <v>0</v>
      </c>
      <c r="AE22" s="39" t="s">
        <v>141</v>
      </c>
      <c r="AF22" s="19">
        <f t="shared" si="29"/>
        <v>116.57507201905658</v>
      </c>
      <c r="AG22" s="20" t="s">
        <v>206</v>
      </c>
      <c r="AH22" s="18">
        <f t="shared" si="30"/>
        <v>-1</v>
      </c>
      <c r="AI22" s="39" t="s">
        <v>142</v>
      </c>
      <c r="AJ22" s="19">
        <f t="shared" si="20"/>
        <v>106.19503962086787</v>
      </c>
      <c r="AK22" s="20" t="s">
        <v>206</v>
      </c>
      <c r="AL22" s="18">
        <f t="shared" si="21"/>
        <v>1</v>
      </c>
      <c r="AM22" s="39" t="s">
        <v>143</v>
      </c>
      <c r="AN22" s="19">
        <f t="shared" si="22"/>
        <v>109.18</v>
      </c>
      <c r="AO22" s="20" t="s">
        <v>206</v>
      </c>
      <c r="AP22" s="18">
        <f t="shared" si="23"/>
        <v>-1</v>
      </c>
      <c r="AQ22" s="39" t="s">
        <v>144</v>
      </c>
      <c r="AR22" s="31">
        <f t="shared" si="24"/>
        <v>140</v>
      </c>
      <c r="AS22" s="31">
        <f t="shared" si="25"/>
        <v>-14.79553284292242</v>
      </c>
      <c r="AT22" s="19">
        <f t="shared" si="26"/>
        <v>84.204467157077573</v>
      </c>
      <c r="AU22" s="20" t="s">
        <v>206</v>
      </c>
      <c r="AV22" s="18">
        <f t="shared" si="27"/>
        <v>-1</v>
      </c>
      <c r="AW22" s="41">
        <f t="shared" si="28"/>
        <v>5</v>
      </c>
    </row>
    <row r="23" spans="1:49" ht="12.75">
      <c r="A23" s="37">
        <v>22</v>
      </c>
      <c r="B23" s="38">
        <v>43763.71227527778</v>
      </c>
      <c r="C23" s="39" t="s">
        <v>145</v>
      </c>
      <c r="D23" s="39" t="s">
        <v>146</v>
      </c>
      <c r="E23" s="40">
        <v>308566</v>
      </c>
      <c r="F23" s="17">
        <f t="shared" si="2"/>
        <v>3</v>
      </c>
      <c r="G23" s="17">
        <f t="shared" si="3"/>
        <v>0</v>
      </c>
      <c r="H23" s="17">
        <f t="shared" si="4"/>
        <v>8</v>
      </c>
      <c r="I23" s="17">
        <f t="shared" si="5"/>
        <v>5</v>
      </c>
      <c r="J23" s="17">
        <f t="shared" si="6"/>
        <v>6</v>
      </c>
      <c r="K23" s="17">
        <f t="shared" si="7"/>
        <v>6</v>
      </c>
      <c r="L23" s="18">
        <v>2</v>
      </c>
      <c r="M23" s="39" t="s">
        <v>14</v>
      </c>
      <c r="N23" s="18">
        <v>1</v>
      </c>
      <c r="O23" s="39" t="s">
        <v>15</v>
      </c>
      <c r="P23" s="18">
        <v>1</v>
      </c>
      <c r="Q23" s="39" t="s">
        <v>24</v>
      </c>
      <c r="R23" s="18">
        <f t="shared" si="8"/>
        <v>1</v>
      </c>
      <c r="S23" s="18">
        <f t="shared" si="9"/>
        <v>0</v>
      </c>
      <c r="T23" s="18">
        <f t="shared" si="10"/>
        <v>1</v>
      </c>
      <c r="U23" s="18">
        <f t="shared" si="11"/>
        <v>0</v>
      </c>
      <c r="V23" s="18">
        <f t="shared" si="12"/>
        <v>0</v>
      </c>
      <c r="W23" s="18">
        <f t="shared" si="13"/>
        <v>1</v>
      </c>
      <c r="X23" s="39" t="s">
        <v>70</v>
      </c>
      <c r="Y23" s="18">
        <f t="shared" si="14"/>
        <v>1</v>
      </c>
      <c r="Z23" s="18">
        <f t="shared" si="15"/>
        <v>1</v>
      </c>
      <c r="AA23" s="18">
        <f t="shared" si="16"/>
        <v>0</v>
      </c>
      <c r="AB23" s="18">
        <f t="shared" si="17"/>
        <v>0</v>
      </c>
      <c r="AC23" s="18">
        <f t="shared" si="18"/>
        <v>0</v>
      </c>
      <c r="AD23" s="18">
        <f t="shared" si="19"/>
        <v>0</v>
      </c>
      <c r="AE23" s="39" t="s">
        <v>147</v>
      </c>
      <c r="AF23" s="19">
        <f t="shared" si="29"/>
        <v>118.0823996531185</v>
      </c>
      <c r="AG23" s="20" t="s">
        <v>206</v>
      </c>
      <c r="AH23" s="18">
        <f t="shared" si="30"/>
        <v>1</v>
      </c>
      <c r="AI23" s="39" t="s">
        <v>148</v>
      </c>
      <c r="AJ23" s="19">
        <f t="shared" si="20"/>
        <v>105.99146634685107</v>
      </c>
      <c r="AK23" s="20" t="s">
        <v>206</v>
      </c>
      <c r="AL23" s="18">
        <f t="shared" si="21"/>
        <v>1</v>
      </c>
      <c r="AM23" s="39" t="s">
        <v>149</v>
      </c>
      <c r="AN23" s="19">
        <f t="shared" si="22"/>
        <v>109</v>
      </c>
      <c r="AO23" s="20" t="s">
        <v>206</v>
      </c>
      <c r="AP23" s="18">
        <f t="shared" si="23"/>
        <v>1</v>
      </c>
      <c r="AQ23" s="39" t="s">
        <v>150</v>
      </c>
      <c r="AR23" s="31">
        <f t="shared" si="24"/>
        <v>110</v>
      </c>
      <c r="AS23" s="31">
        <f t="shared" si="25"/>
        <v>-17.845171808503995</v>
      </c>
      <c r="AT23" s="19">
        <f t="shared" si="26"/>
        <v>78.154828191496009</v>
      </c>
      <c r="AU23" s="20" t="s">
        <v>206</v>
      </c>
      <c r="AV23" s="18">
        <f t="shared" si="27"/>
        <v>1</v>
      </c>
      <c r="AW23" s="41">
        <f t="shared" si="28"/>
        <v>13</v>
      </c>
    </row>
    <row r="24" spans="1:49" ht="12.75">
      <c r="A24" s="37">
        <v>23</v>
      </c>
      <c r="B24" s="38">
        <v>43763.713332673608</v>
      </c>
      <c r="C24" s="39" t="s">
        <v>151</v>
      </c>
      <c r="D24" s="39" t="s">
        <v>152</v>
      </c>
      <c r="E24" s="40">
        <v>313277</v>
      </c>
      <c r="F24" s="17">
        <f t="shared" si="2"/>
        <v>3</v>
      </c>
      <c r="G24" s="17">
        <f t="shared" si="3"/>
        <v>1</v>
      </c>
      <c r="H24" s="17">
        <f t="shared" si="4"/>
        <v>3</v>
      </c>
      <c r="I24" s="17">
        <f t="shared" si="5"/>
        <v>2</v>
      </c>
      <c r="J24" s="17">
        <f t="shared" si="6"/>
        <v>7</v>
      </c>
      <c r="K24" s="17">
        <f t="shared" si="7"/>
        <v>7</v>
      </c>
      <c r="L24" s="18">
        <v>2</v>
      </c>
      <c r="M24" s="39" t="s">
        <v>14</v>
      </c>
      <c r="N24" s="18">
        <v>1</v>
      </c>
      <c r="O24" s="39" t="s">
        <v>15</v>
      </c>
      <c r="P24" s="18">
        <v>1</v>
      </c>
      <c r="Q24" s="39" t="s">
        <v>24</v>
      </c>
      <c r="R24" s="18">
        <f t="shared" si="8"/>
        <v>1</v>
      </c>
      <c r="S24" s="18">
        <f t="shared" si="9"/>
        <v>0</v>
      </c>
      <c r="T24" s="18">
        <f t="shared" si="10"/>
        <v>1</v>
      </c>
      <c r="U24" s="18">
        <f t="shared" si="11"/>
        <v>0</v>
      </c>
      <c r="V24" s="18">
        <f t="shared" si="12"/>
        <v>0</v>
      </c>
      <c r="W24" s="18">
        <f t="shared" si="13"/>
        <v>1</v>
      </c>
      <c r="X24" s="39" t="s">
        <v>70</v>
      </c>
      <c r="Y24" s="18">
        <f t="shared" si="14"/>
        <v>1</v>
      </c>
      <c r="Z24" s="18">
        <f t="shared" si="15"/>
        <v>1</v>
      </c>
      <c r="AA24" s="18">
        <f t="shared" si="16"/>
        <v>0</v>
      </c>
      <c r="AB24" s="18">
        <f t="shared" si="17"/>
        <v>0</v>
      </c>
      <c r="AC24" s="18">
        <f t="shared" si="18"/>
        <v>0</v>
      </c>
      <c r="AD24" s="18">
        <f t="shared" si="19"/>
        <v>0</v>
      </c>
      <c r="AE24" s="39" t="s">
        <v>153</v>
      </c>
      <c r="AF24" s="19">
        <f t="shared" si="29"/>
        <v>119.60897842756548</v>
      </c>
      <c r="AG24" s="20" t="s">
        <v>206</v>
      </c>
      <c r="AH24" s="18">
        <f t="shared" si="30"/>
        <v>1</v>
      </c>
      <c r="AI24" s="39" t="s">
        <v>154</v>
      </c>
      <c r="AJ24" s="19">
        <f t="shared" si="20"/>
        <v>107.88273546346768</v>
      </c>
      <c r="AK24" s="20" t="s">
        <v>206</v>
      </c>
      <c r="AL24" s="18">
        <f t="shared" si="21"/>
        <v>1</v>
      </c>
      <c r="AM24" s="39" t="s">
        <v>155</v>
      </c>
      <c r="AN24" s="19">
        <f t="shared" si="22"/>
        <v>110.9</v>
      </c>
      <c r="AO24" s="20" t="s">
        <v>206</v>
      </c>
      <c r="AP24" s="18">
        <f t="shared" si="23"/>
        <v>1</v>
      </c>
      <c r="AQ24" s="39" t="s">
        <v>156</v>
      </c>
      <c r="AR24" s="31">
        <f t="shared" si="24"/>
        <v>120</v>
      </c>
      <c r="AS24" s="31">
        <f t="shared" si="25"/>
        <v>-16.706971814578953</v>
      </c>
      <c r="AT24" s="19">
        <f t="shared" si="26"/>
        <v>80.293028185421051</v>
      </c>
      <c r="AU24" s="20" t="s">
        <v>206</v>
      </c>
      <c r="AV24" s="18">
        <f t="shared" si="27"/>
        <v>1</v>
      </c>
      <c r="AW24" s="41">
        <f t="shared" si="28"/>
        <v>13</v>
      </c>
    </row>
    <row r="25" spans="1:49" ht="12.75">
      <c r="A25" s="37">
        <v>24</v>
      </c>
      <c r="B25" s="38">
        <v>43763.713500370373</v>
      </c>
      <c r="C25" s="39" t="s">
        <v>157</v>
      </c>
      <c r="D25" s="39" t="s">
        <v>158</v>
      </c>
      <c r="E25" s="40">
        <v>304065</v>
      </c>
      <c r="F25" s="17">
        <f t="shared" si="2"/>
        <v>3</v>
      </c>
      <c r="G25" s="17">
        <f t="shared" si="3"/>
        <v>0</v>
      </c>
      <c r="H25" s="17">
        <f t="shared" si="4"/>
        <v>4</v>
      </c>
      <c r="I25" s="17">
        <f t="shared" si="5"/>
        <v>0</v>
      </c>
      <c r="J25" s="17">
        <f t="shared" si="6"/>
        <v>6</v>
      </c>
      <c r="K25" s="17">
        <f t="shared" si="7"/>
        <v>5</v>
      </c>
      <c r="L25" s="18">
        <v>2</v>
      </c>
      <c r="M25" s="39" t="s">
        <v>14</v>
      </c>
      <c r="N25" s="18">
        <v>1</v>
      </c>
      <c r="O25" s="39" t="s">
        <v>15</v>
      </c>
      <c r="P25" s="18">
        <v>1</v>
      </c>
      <c r="Q25" s="39" t="s">
        <v>24</v>
      </c>
      <c r="R25" s="18">
        <f t="shared" si="8"/>
        <v>1</v>
      </c>
      <c r="S25" s="18">
        <f t="shared" si="9"/>
        <v>0</v>
      </c>
      <c r="T25" s="18">
        <f t="shared" si="10"/>
        <v>1</v>
      </c>
      <c r="U25" s="18">
        <f t="shared" si="11"/>
        <v>0</v>
      </c>
      <c r="V25" s="18">
        <f t="shared" si="12"/>
        <v>0</v>
      </c>
      <c r="W25" s="18">
        <f t="shared" si="13"/>
        <v>1</v>
      </c>
      <c r="X25" s="39" t="s">
        <v>32</v>
      </c>
      <c r="Y25" s="18">
        <f t="shared" si="14"/>
        <v>1</v>
      </c>
      <c r="Z25" s="18">
        <f t="shared" si="15"/>
        <v>1</v>
      </c>
      <c r="AA25" s="18">
        <f t="shared" si="16"/>
        <v>1</v>
      </c>
      <c r="AB25" s="18">
        <f t="shared" si="17"/>
        <v>1</v>
      </c>
      <c r="AC25" s="18">
        <f t="shared" si="18"/>
        <v>0</v>
      </c>
      <c r="AD25" s="18">
        <f t="shared" si="19"/>
        <v>0</v>
      </c>
      <c r="AE25" s="39" t="s">
        <v>159</v>
      </c>
      <c r="AF25" s="19">
        <f t="shared" si="29"/>
        <v>117.52182518111363</v>
      </c>
      <c r="AG25" s="20" t="s">
        <v>206</v>
      </c>
      <c r="AH25" s="18">
        <f t="shared" si="30"/>
        <v>1</v>
      </c>
      <c r="AI25" s="39" t="s">
        <v>160</v>
      </c>
      <c r="AJ25" s="19">
        <f t="shared" si="20"/>
        <v>106.53089986991944</v>
      </c>
      <c r="AK25" s="20" t="s">
        <v>206</v>
      </c>
      <c r="AL25" s="18">
        <f t="shared" si="21"/>
        <v>1</v>
      </c>
      <c r="AM25" s="39" t="s">
        <v>161</v>
      </c>
      <c r="AN25" s="19">
        <f t="shared" si="22"/>
        <v>109.5</v>
      </c>
      <c r="AO25" s="20" t="s">
        <v>206</v>
      </c>
      <c r="AP25" s="18">
        <f t="shared" si="23"/>
        <v>1</v>
      </c>
      <c r="AQ25" s="39" t="s">
        <v>120</v>
      </c>
      <c r="AR25" s="31">
        <f t="shared" si="24"/>
        <v>100</v>
      </c>
      <c r="AS25" s="31">
        <f t="shared" si="25"/>
        <v>-19.142776737926507</v>
      </c>
      <c r="AT25" s="19">
        <f t="shared" si="26"/>
        <v>75.857223262073489</v>
      </c>
      <c r="AU25" s="20" t="s">
        <v>206</v>
      </c>
      <c r="AV25" s="18">
        <f t="shared" si="27"/>
        <v>1</v>
      </c>
      <c r="AW25" s="41">
        <f t="shared" si="28"/>
        <v>15</v>
      </c>
    </row>
    <row r="26" spans="1:49" ht="12.75">
      <c r="A26" s="37">
        <v>25</v>
      </c>
      <c r="B26" s="38">
        <v>43763.713817766205</v>
      </c>
      <c r="C26" s="39" t="s">
        <v>162</v>
      </c>
      <c r="D26" s="39" t="s">
        <v>163</v>
      </c>
      <c r="E26" s="40">
        <v>265791</v>
      </c>
      <c r="F26" s="17">
        <f t="shared" si="2"/>
        <v>2</v>
      </c>
      <c r="G26" s="17">
        <f t="shared" si="3"/>
        <v>6</v>
      </c>
      <c r="H26" s="17">
        <f t="shared" si="4"/>
        <v>5</v>
      </c>
      <c r="I26" s="17">
        <f t="shared" si="5"/>
        <v>7</v>
      </c>
      <c r="J26" s="17">
        <f t="shared" si="6"/>
        <v>9</v>
      </c>
      <c r="K26" s="17">
        <f t="shared" si="7"/>
        <v>1</v>
      </c>
      <c r="L26" s="18">
        <v>2</v>
      </c>
      <c r="M26" s="39" t="s">
        <v>14</v>
      </c>
      <c r="N26" s="18">
        <v>1</v>
      </c>
      <c r="O26" s="39" t="s">
        <v>15</v>
      </c>
      <c r="P26" s="18">
        <v>1</v>
      </c>
      <c r="Q26" s="39" t="s">
        <v>128</v>
      </c>
      <c r="R26" s="18">
        <f t="shared" si="8"/>
        <v>1</v>
      </c>
      <c r="S26" s="18">
        <f t="shared" si="9"/>
        <v>0</v>
      </c>
      <c r="T26" s="18">
        <f t="shared" si="10"/>
        <v>1</v>
      </c>
      <c r="U26" s="18">
        <f t="shared" si="11"/>
        <v>0</v>
      </c>
      <c r="V26" s="18">
        <f t="shared" si="12"/>
        <v>-1</v>
      </c>
      <c r="W26" s="18">
        <f t="shared" si="13"/>
        <v>1</v>
      </c>
      <c r="X26" s="39" t="s">
        <v>70</v>
      </c>
      <c r="Y26" s="18">
        <f t="shared" si="14"/>
        <v>1</v>
      </c>
      <c r="Z26" s="18">
        <f t="shared" si="15"/>
        <v>1</v>
      </c>
      <c r="AA26" s="18">
        <f t="shared" si="16"/>
        <v>0</v>
      </c>
      <c r="AB26" s="18">
        <f t="shared" si="17"/>
        <v>0</v>
      </c>
      <c r="AC26" s="18">
        <f t="shared" si="18"/>
        <v>0</v>
      </c>
      <c r="AD26" s="18">
        <f t="shared" si="19"/>
        <v>0</v>
      </c>
      <c r="AE26" s="39" t="s">
        <v>164</v>
      </c>
      <c r="AF26" s="19">
        <f t="shared" si="29"/>
        <v>117.82785370316451</v>
      </c>
      <c r="AG26" s="20" t="s">
        <v>206</v>
      </c>
      <c r="AH26" s="18">
        <f t="shared" si="30"/>
        <v>1</v>
      </c>
      <c r="AI26" s="39" t="s">
        <v>165</v>
      </c>
      <c r="AJ26" s="19">
        <f t="shared" si="20"/>
        <v>106.30476932435056</v>
      </c>
      <c r="AK26" s="20" t="s">
        <v>206</v>
      </c>
      <c r="AL26" s="18">
        <f t="shared" si="21"/>
        <v>1</v>
      </c>
      <c r="AM26" s="39" t="s">
        <v>166</v>
      </c>
      <c r="AN26" s="19">
        <f t="shared" si="22"/>
        <v>109.3</v>
      </c>
      <c r="AO26" s="20" t="s">
        <v>206</v>
      </c>
      <c r="AP26" s="18">
        <f t="shared" si="23"/>
        <v>1</v>
      </c>
      <c r="AQ26" s="43" t="s">
        <v>167</v>
      </c>
      <c r="AR26" s="31">
        <f t="shared" si="24"/>
        <v>60</v>
      </c>
      <c r="AS26" s="31">
        <f t="shared" si="25"/>
        <v>-27.045748113039672</v>
      </c>
      <c r="AT26" s="19">
        <f t="shared" si="26"/>
        <v>63.954251886960328</v>
      </c>
      <c r="AU26" s="20" t="s">
        <v>206</v>
      </c>
      <c r="AV26" s="18">
        <v>0</v>
      </c>
      <c r="AW26" s="41">
        <f t="shared" si="28"/>
        <v>11</v>
      </c>
    </row>
    <row r="27" spans="1:49" ht="15.75" customHeight="1">
      <c r="A27" s="37">
        <v>26</v>
      </c>
      <c r="B27" s="47" t="s">
        <v>168</v>
      </c>
      <c r="C27" s="46"/>
      <c r="D27" s="39" t="s">
        <v>169</v>
      </c>
      <c r="E27" s="40">
        <v>313884</v>
      </c>
      <c r="F27" s="17">
        <f t="shared" si="2"/>
        <v>3</v>
      </c>
      <c r="G27" s="17">
        <f t="shared" si="3"/>
        <v>1</v>
      </c>
      <c r="H27" s="17">
        <f t="shared" si="4"/>
        <v>3</v>
      </c>
      <c r="I27" s="17">
        <f t="shared" si="5"/>
        <v>8</v>
      </c>
      <c r="J27" s="17">
        <f t="shared" si="6"/>
        <v>8</v>
      </c>
      <c r="K27" s="17">
        <f t="shared" si="7"/>
        <v>4</v>
      </c>
      <c r="L27" s="18">
        <v>0</v>
      </c>
      <c r="M27" s="39" t="s">
        <v>14</v>
      </c>
      <c r="N27" s="18">
        <v>1</v>
      </c>
      <c r="O27" s="39" t="s">
        <v>15</v>
      </c>
      <c r="P27" s="18">
        <v>1</v>
      </c>
      <c r="Q27" s="39" t="s">
        <v>77</v>
      </c>
      <c r="R27" s="18">
        <f t="shared" si="8"/>
        <v>1</v>
      </c>
      <c r="S27" s="18">
        <f t="shared" si="9"/>
        <v>0</v>
      </c>
      <c r="T27" s="18">
        <f t="shared" si="10"/>
        <v>1</v>
      </c>
      <c r="U27" s="18">
        <f t="shared" si="11"/>
        <v>0</v>
      </c>
      <c r="V27" s="18">
        <f t="shared" si="12"/>
        <v>-1</v>
      </c>
      <c r="W27" s="18">
        <f t="shared" si="13"/>
        <v>0</v>
      </c>
      <c r="X27" s="39" t="s">
        <v>25</v>
      </c>
      <c r="Y27" s="18">
        <f t="shared" si="14"/>
        <v>1</v>
      </c>
      <c r="Z27" s="18">
        <f t="shared" si="15"/>
        <v>1</v>
      </c>
      <c r="AA27" s="18">
        <f t="shared" si="16"/>
        <v>1</v>
      </c>
      <c r="AB27" s="18">
        <f t="shared" si="17"/>
        <v>0</v>
      </c>
      <c r="AC27" s="18">
        <f t="shared" si="18"/>
        <v>0</v>
      </c>
      <c r="AD27" s="18">
        <f t="shared" si="19"/>
        <v>0</v>
      </c>
      <c r="AE27" s="39" t="s">
        <v>170</v>
      </c>
      <c r="AF27" s="19">
        <f t="shared" si="29"/>
        <v>118.92256071356476</v>
      </c>
      <c r="AG27" s="20" t="s">
        <v>206</v>
      </c>
      <c r="AH27" s="18">
        <f t="shared" si="30"/>
        <v>1</v>
      </c>
      <c r="AI27" s="39" t="s">
        <v>171</v>
      </c>
      <c r="AJ27" s="19">
        <f t="shared" si="20"/>
        <v>106.64690718274137</v>
      </c>
      <c r="AK27" s="20" t="s">
        <v>206</v>
      </c>
      <c r="AL27" s="18">
        <f t="shared" si="21"/>
        <v>1</v>
      </c>
      <c r="AM27" s="39" t="s">
        <v>34</v>
      </c>
      <c r="AN27" s="19">
        <f t="shared" si="22"/>
        <v>109.6</v>
      </c>
      <c r="AO27" s="20" t="s">
        <v>206</v>
      </c>
      <c r="AP27" s="18">
        <f t="shared" si="23"/>
        <v>1</v>
      </c>
      <c r="AQ27" s="39" t="s">
        <v>172</v>
      </c>
      <c r="AR27" s="31">
        <f t="shared" si="24"/>
        <v>90</v>
      </c>
      <c r="AS27" s="31">
        <f t="shared" si="25"/>
        <v>-20.640509795312138</v>
      </c>
      <c r="AT27" s="19">
        <f t="shared" si="26"/>
        <v>73.359490204687859</v>
      </c>
      <c r="AU27" s="20" t="s">
        <v>206</v>
      </c>
      <c r="AV27" s="18">
        <f t="shared" si="27"/>
        <v>1</v>
      </c>
      <c r="AW27" s="41">
        <f t="shared" si="28"/>
        <v>10</v>
      </c>
    </row>
    <row r="28" spans="1:49" ht="15.75" customHeight="1" thickBot="1">
      <c r="A28" s="48">
        <v>27</v>
      </c>
      <c r="B28" s="49" t="s">
        <v>168</v>
      </c>
      <c r="C28" s="50"/>
      <c r="D28" s="51" t="s">
        <v>173</v>
      </c>
      <c r="E28" s="52">
        <v>309623</v>
      </c>
      <c r="F28" s="53">
        <f t="shared" si="2"/>
        <v>3</v>
      </c>
      <c r="G28" s="53">
        <f t="shared" si="3"/>
        <v>0</v>
      </c>
      <c r="H28" s="53">
        <f t="shared" si="4"/>
        <v>9</v>
      </c>
      <c r="I28" s="53">
        <f t="shared" si="5"/>
        <v>6</v>
      </c>
      <c r="J28" s="53">
        <f t="shared" si="6"/>
        <v>2</v>
      </c>
      <c r="K28" s="53">
        <f t="shared" si="7"/>
        <v>3</v>
      </c>
      <c r="L28" s="54">
        <v>0</v>
      </c>
      <c r="M28" s="51" t="s">
        <v>14</v>
      </c>
      <c r="N28" s="54">
        <v>1</v>
      </c>
      <c r="O28" s="51" t="s">
        <v>15</v>
      </c>
      <c r="P28" s="54">
        <v>1</v>
      </c>
      <c r="Q28" s="50"/>
      <c r="R28" s="54">
        <f t="shared" si="8"/>
        <v>0</v>
      </c>
      <c r="S28" s="54">
        <f t="shared" si="9"/>
        <v>0</v>
      </c>
      <c r="T28" s="54">
        <f t="shared" si="10"/>
        <v>0</v>
      </c>
      <c r="U28" s="54">
        <f t="shared" si="11"/>
        <v>0</v>
      </c>
      <c r="V28" s="54">
        <f t="shared" si="12"/>
        <v>0</v>
      </c>
      <c r="W28" s="54">
        <f t="shared" si="13"/>
        <v>0</v>
      </c>
      <c r="X28" s="51" t="s">
        <v>17</v>
      </c>
      <c r="Y28" s="54">
        <f t="shared" si="14"/>
        <v>0</v>
      </c>
      <c r="Z28" s="54">
        <f t="shared" si="15"/>
        <v>1</v>
      </c>
      <c r="AA28" s="54">
        <f t="shared" si="16"/>
        <v>0</v>
      </c>
      <c r="AB28" s="54">
        <f t="shared" si="17"/>
        <v>0</v>
      </c>
      <c r="AC28" s="54">
        <f t="shared" si="18"/>
        <v>0</v>
      </c>
      <c r="AD28" s="54">
        <f t="shared" si="19"/>
        <v>0</v>
      </c>
      <c r="AE28" s="55" t="s">
        <v>174</v>
      </c>
      <c r="AF28" s="56">
        <f t="shared" si="29"/>
        <v>112.27886704613674</v>
      </c>
      <c r="AG28" s="57" t="s">
        <v>206</v>
      </c>
      <c r="AH28" s="54">
        <v>0</v>
      </c>
      <c r="AI28" s="55" t="s">
        <v>175</v>
      </c>
      <c r="AJ28" s="56">
        <f t="shared" si="20"/>
        <v>100.51358807339552</v>
      </c>
      <c r="AK28" s="57" t="s">
        <v>206</v>
      </c>
      <c r="AL28" s="54">
        <v>0</v>
      </c>
      <c r="AM28" s="51" t="s">
        <v>176</v>
      </c>
      <c r="AN28" s="56">
        <f t="shared" si="22"/>
        <v>103.52</v>
      </c>
      <c r="AO28" s="57" t="s">
        <v>206</v>
      </c>
      <c r="AP28" s="54">
        <v>0</v>
      </c>
      <c r="AQ28" s="51" t="s">
        <v>87</v>
      </c>
      <c r="AR28" s="58">
        <f t="shared" si="24"/>
        <v>80</v>
      </c>
      <c r="AS28" s="58">
        <f t="shared" si="25"/>
        <v>-22.395057777136419</v>
      </c>
      <c r="AT28" s="56">
        <f t="shared" si="26"/>
        <v>70.604942222863585</v>
      </c>
      <c r="AU28" s="57" t="s">
        <v>206</v>
      </c>
      <c r="AV28" s="54">
        <f t="shared" si="27"/>
        <v>1</v>
      </c>
      <c r="AW28" s="59">
        <f t="shared" si="28"/>
        <v>4</v>
      </c>
    </row>
    <row r="30" spans="1:49" ht="15.75" customHeight="1">
      <c r="A30" s="21" t="s">
        <v>232</v>
      </c>
      <c r="B30"/>
    </row>
    <row r="31" spans="1:49" ht="15.75" customHeight="1">
      <c r="A31" s="22" t="s">
        <v>233</v>
      </c>
      <c r="B31" s="23"/>
      <c r="C31" s="23"/>
      <c r="D31" s="24" t="s">
        <v>234</v>
      </c>
    </row>
    <row r="32" spans="1:49" ht="15.75" customHeight="1">
      <c r="A32" s="25" t="s">
        <v>235</v>
      </c>
      <c r="B32" s="26"/>
      <c r="C32" s="26"/>
    </row>
    <row r="33" spans="1:3" ht="15.75" customHeight="1">
      <c r="A33" s="27" t="s">
        <v>239</v>
      </c>
      <c r="B33" s="28"/>
      <c r="C33" s="28"/>
    </row>
    <row r="34" spans="1:3" ht="15.75" customHeight="1">
      <c r="A34" s="29" t="s">
        <v>236</v>
      </c>
      <c r="B34" s="30"/>
      <c r="C34" s="30"/>
    </row>
  </sheetData>
  <conditionalFormatting sqref="L2">
    <cfRule type="cellIs" dxfId="41" priority="47" operator="lessThan">
      <formula>0</formula>
    </cfRule>
  </conditionalFormatting>
  <conditionalFormatting sqref="L2">
    <cfRule type="containsText" dxfId="40" priority="48" operator="containsText" text=",">
      <formula>NOT(ISERROR(SEARCH(",",L2)))</formula>
    </cfRule>
  </conditionalFormatting>
  <conditionalFormatting sqref="L2">
    <cfRule type="cellIs" dxfId="39" priority="46" operator="equal">
      <formula>0</formula>
    </cfRule>
  </conditionalFormatting>
  <conditionalFormatting sqref="L3:L28">
    <cfRule type="cellIs" dxfId="38" priority="44" operator="lessThan">
      <formula>0</formula>
    </cfRule>
  </conditionalFormatting>
  <conditionalFormatting sqref="L3:L28">
    <cfRule type="containsText" dxfId="37" priority="45" operator="containsText" text=",">
      <formula>NOT(ISERROR(SEARCH(",",L3)))</formula>
    </cfRule>
  </conditionalFormatting>
  <conditionalFormatting sqref="L3:L28">
    <cfRule type="cellIs" dxfId="36" priority="43" operator="equal">
      <formula>0</formula>
    </cfRule>
  </conditionalFormatting>
  <conditionalFormatting sqref="N2:N28">
    <cfRule type="cellIs" dxfId="35" priority="41" operator="lessThan">
      <formula>0</formula>
    </cfRule>
  </conditionalFormatting>
  <conditionalFormatting sqref="N2:N28">
    <cfRule type="containsText" dxfId="34" priority="42" operator="containsText" text=",">
      <formula>NOT(ISERROR(SEARCH(",",N2)))</formula>
    </cfRule>
  </conditionalFormatting>
  <conditionalFormatting sqref="N2:N28">
    <cfRule type="cellIs" dxfId="33" priority="40" operator="equal">
      <formula>0</formula>
    </cfRule>
  </conditionalFormatting>
  <conditionalFormatting sqref="P2:P28">
    <cfRule type="cellIs" dxfId="32" priority="38" operator="lessThan">
      <formula>0</formula>
    </cfRule>
  </conditionalFormatting>
  <conditionalFormatting sqref="P2:P28">
    <cfRule type="containsText" dxfId="31" priority="39" operator="containsText" text=",">
      <formula>NOT(ISERROR(SEARCH(",",P2)))</formula>
    </cfRule>
  </conditionalFormatting>
  <conditionalFormatting sqref="P2:P28">
    <cfRule type="cellIs" dxfId="30" priority="37" operator="equal">
      <formula>0</formula>
    </cfRule>
  </conditionalFormatting>
  <conditionalFormatting sqref="R2:W2">
    <cfRule type="cellIs" dxfId="29" priority="35" operator="lessThan">
      <formula>0</formula>
    </cfRule>
  </conditionalFormatting>
  <conditionalFormatting sqref="R2:W2">
    <cfRule type="containsText" dxfId="28" priority="36" operator="containsText" text=",">
      <formula>NOT(ISERROR(SEARCH(",",R2)))</formula>
    </cfRule>
  </conditionalFormatting>
  <conditionalFormatting sqref="R2:W2">
    <cfRule type="cellIs" dxfId="27" priority="34" operator="equal">
      <formula>0</formula>
    </cfRule>
  </conditionalFormatting>
  <conditionalFormatting sqref="Y2:AD2">
    <cfRule type="cellIs" dxfId="26" priority="32" operator="lessThan">
      <formula>0</formula>
    </cfRule>
  </conditionalFormatting>
  <conditionalFormatting sqref="Y2:AD2">
    <cfRule type="containsText" dxfId="25" priority="33" operator="containsText" text=",">
      <formula>NOT(ISERROR(SEARCH(",",Y2)))</formula>
    </cfRule>
  </conditionalFormatting>
  <conditionalFormatting sqref="Y2:AD2">
    <cfRule type="cellIs" dxfId="24" priority="31" operator="equal">
      <formula>0</formula>
    </cfRule>
  </conditionalFormatting>
  <conditionalFormatting sqref="R3:W28">
    <cfRule type="cellIs" dxfId="23" priority="29" operator="lessThan">
      <formula>0</formula>
    </cfRule>
  </conditionalFormatting>
  <conditionalFormatting sqref="R3:W28">
    <cfRule type="containsText" dxfId="22" priority="30" operator="containsText" text=",">
      <formula>NOT(ISERROR(SEARCH(",",R3)))</formula>
    </cfRule>
  </conditionalFormatting>
  <conditionalFormatting sqref="R3:W28">
    <cfRule type="cellIs" dxfId="21" priority="28" operator="equal">
      <formula>0</formula>
    </cfRule>
  </conditionalFormatting>
  <conditionalFormatting sqref="Y3:AD28">
    <cfRule type="cellIs" dxfId="20" priority="26" operator="lessThan">
      <formula>0</formula>
    </cfRule>
  </conditionalFormatting>
  <conditionalFormatting sqref="Y3:AD28">
    <cfRule type="containsText" dxfId="19" priority="27" operator="containsText" text=",">
      <formula>NOT(ISERROR(SEARCH(",",Y3)))</formula>
    </cfRule>
  </conditionalFormatting>
  <conditionalFormatting sqref="Y3:AD28">
    <cfRule type="cellIs" dxfId="18" priority="25" operator="equal">
      <formula>0</formula>
    </cfRule>
  </conditionalFormatting>
  <conditionalFormatting sqref="AH2:AH28">
    <cfRule type="cellIs" dxfId="17" priority="17" operator="lessThan">
      <formula>0</formula>
    </cfRule>
  </conditionalFormatting>
  <conditionalFormatting sqref="AH2:AH28">
    <cfRule type="containsText" dxfId="16" priority="18" operator="containsText" text=",">
      <formula>NOT(ISERROR(SEARCH(",",AH2)))</formula>
    </cfRule>
  </conditionalFormatting>
  <conditionalFormatting sqref="AH2:AH28">
    <cfRule type="cellIs" dxfId="15" priority="16" operator="equal">
      <formula>0</formula>
    </cfRule>
  </conditionalFormatting>
  <conditionalFormatting sqref="AL2:AL28">
    <cfRule type="cellIs" dxfId="14" priority="14" operator="lessThan">
      <formula>0</formula>
    </cfRule>
  </conditionalFormatting>
  <conditionalFormatting sqref="AL2:AL28">
    <cfRule type="containsText" dxfId="13" priority="15" operator="containsText" text=",">
      <formula>NOT(ISERROR(SEARCH(",",AL2)))</formula>
    </cfRule>
  </conditionalFormatting>
  <conditionalFormatting sqref="AL2:AL28">
    <cfRule type="cellIs" dxfId="12" priority="13" operator="equal">
      <formula>0</formula>
    </cfRule>
  </conditionalFormatting>
  <conditionalFormatting sqref="AP2">
    <cfRule type="cellIs" dxfId="11" priority="11" operator="lessThan">
      <formula>0</formula>
    </cfRule>
  </conditionalFormatting>
  <conditionalFormatting sqref="AP2">
    <cfRule type="containsText" dxfId="10" priority="12" operator="containsText" text=",">
      <formula>NOT(ISERROR(SEARCH(",",AP2)))</formula>
    </cfRule>
  </conditionalFormatting>
  <conditionalFormatting sqref="AP2">
    <cfRule type="cellIs" dxfId="9" priority="10" operator="equal">
      <formula>0</formula>
    </cfRule>
  </conditionalFormatting>
  <conditionalFormatting sqref="AP3:AP28">
    <cfRule type="cellIs" dxfId="8" priority="8" operator="lessThan">
      <formula>0</formula>
    </cfRule>
  </conditionalFormatting>
  <conditionalFormatting sqref="AP3:AP28">
    <cfRule type="containsText" dxfId="7" priority="9" operator="containsText" text=",">
      <formula>NOT(ISERROR(SEARCH(",",AP3)))</formula>
    </cfRule>
  </conditionalFormatting>
  <conditionalFormatting sqref="AP3:AP28">
    <cfRule type="cellIs" dxfId="6" priority="7" operator="equal">
      <formula>0</formula>
    </cfRule>
  </conditionalFormatting>
  <conditionalFormatting sqref="AV2:AV28">
    <cfRule type="cellIs" dxfId="5" priority="5" operator="lessThan">
      <formula>0</formula>
    </cfRule>
  </conditionalFormatting>
  <conditionalFormatting sqref="AV2:AV28">
    <cfRule type="containsText" dxfId="4" priority="6" operator="containsText" text=",">
      <formula>NOT(ISERROR(SEARCH(",",AV2)))</formula>
    </cfRule>
  </conditionalFormatting>
  <conditionalFormatting sqref="AV2:AV28">
    <cfRule type="cellIs" dxfId="3" priority="4" operator="equal">
      <formula>0</formula>
    </cfRule>
  </conditionalFormatting>
  <conditionalFormatting sqref="AV3:AV28">
    <cfRule type="cellIs" dxfId="2" priority="2" operator="lessThan">
      <formula>0</formula>
    </cfRule>
  </conditionalFormatting>
  <conditionalFormatting sqref="AV3:AV28">
    <cfRule type="containsText" dxfId="1" priority="3" operator="containsText" text=",">
      <formula>NOT(ISERROR(SEARCH(",",AV3)))</formula>
    </cfRule>
  </conditionalFormatting>
  <conditionalFormatting sqref="AV3:AV2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DCD4-36D3-4FC9-AAF8-EBA83AE365BA}">
  <dimension ref="A1:O52"/>
  <sheetViews>
    <sheetView topLeftCell="A23" workbookViewId="0">
      <selection activeCell="N45" sqref="N45"/>
    </sheetView>
  </sheetViews>
  <sheetFormatPr defaultRowHeight="12.75"/>
  <sheetData>
    <row r="1" spans="1:9">
      <c r="A1" s="7" t="s">
        <v>201</v>
      </c>
      <c r="E1" s="7" t="s">
        <v>202</v>
      </c>
    </row>
    <row r="2" spans="1:9">
      <c r="A2" s="1" t="s">
        <v>3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</row>
    <row r="4" spans="1:9" ht="15">
      <c r="A4" s="3" t="s">
        <v>4</v>
      </c>
      <c r="I4" s="4" t="s">
        <v>178</v>
      </c>
    </row>
    <row r="5" spans="1:9" ht="15">
      <c r="A5" s="5" t="s">
        <v>179</v>
      </c>
    </row>
    <row r="6" spans="1:9" ht="15">
      <c r="A6" s="5" t="s">
        <v>180</v>
      </c>
    </row>
    <row r="7" spans="1:9" ht="15">
      <c r="A7" s="5" t="s">
        <v>181</v>
      </c>
    </row>
    <row r="8" spans="1:9" ht="15">
      <c r="A8" s="8" t="s">
        <v>182</v>
      </c>
      <c r="B8" s="9"/>
      <c r="C8" s="9"/>
      <c r="D8" s="9"/>
      <c r="E8" s="9"/>
      <c r="F8" s="9"/>
      <c r="G8" s="9"/>
      <c r="H8" s="9"/>
    </row>
    <row r="9" spans="1:9" ht="15">
      <c r="A9" s="5" t="s">
        <v>183</v>
      </c>
    </row>
    <row r="10" spans="1:9" ht="15">
      <c r="A10" s="3"/>
    </row>
    <row r="11" spans="1:9" ht="15">
      <c r="A11" s="3" t="s">
        <v>184</v>
      </c>
      <c r="I11" s="4" t="s">
        <v>178</v>
      </c>
    </row>
    <row r="12" spans="1:9" ht="15">
      <c r="A12" s="5" t="s">
        <v>179</v>
      </c>
    </row>
    <row r="13" spans="1:9" ht="15">
      <c r="A13" s="8" t="s">
        <v>180</v>
      </c>
      <c r="B13" s="9"/>
      <c r="C13" s="9"/>
      <c r="D13" s="9"/>
      <c r="E13" s="9"/>
      <c r="F13" s="9"/>
      <c r="G13" s="9"/>
      <c r="H13" s="9"/>
    </row>
    <row r="14" spans="1:9" ht="15">
      <c r="A14" s="5" t="s">
        <v>181</v>
      </c>
    </row>
    <row r="15" spans="1:9" ht="15">
      <c r="A15" s="5" t="s">
        <v>182</v>
      </c>
    </row>
    <row r="16" spans="1:9" ht="15">
      <c r="A16" s="5" t="s">
        <v>183</v>
      </c>
    </row>
    <row r="17" spans="1:14" ht="14.25">
      <c r="A17" s="5"/>
    </row>
    <row r="18" spans="1:14" ht="15">
      <c r="A18" s="3" t="s">
        <v>6</v>
      </c>
      <c r="I18" s="4" t="s">
        <v>185</v>
      </c>
    </row>
    <row r="19" spans="1:14" ht="15">
      <c r="A19" s="8" t="s">
        <v>186</v>
      </c>
      <c r="B19" s="9"/>
      <c r="C19" s="9"/>
      <c r="D19" s="9"/>
      <c r="E19" s="9"/>
      <c r="F19" s="9"/>
      <c r="G19" s="9"/>
      <c r="H19" s="9"/>
    </row>
    <row r="20" spans="1:14" ht="15">
      <c r="A20" s="5" t="s">
        <v>187</v>
      </c>
    </row>
    <row r="21" spans="1:14" ht="15">
      <c r="A21" s="8" t="s">
        <v>188</v>
      </c>
      <c r="B21" s="9"/>
      <c r="C21" s="9"/>
      <c r="D21" s="9"/>
      <c r="E21" s="9"/>
      <c r="F21" s="9"/>
      <c r="G21" s="9"/>
      <c r="H21" s="9"/>
    </row>
    <row r="22" spans="1:14" ht="15">
      <c r="A22" s="5" t="s">
        <v>189</v>
      </c>
    </row>
    <row r="23" spans="1:14" ht="15">
      <c r="A23" s="5" t="s">
        <v>190</v>
      </c>
    </row>
    <row r="24" spans="1:14" ht="15">
      <c r="A24" s="8" t="s">
        <v>191</v>
      </c>
      <c r="B24" s="9"/>
      <c r="C24" s="9"/>
      <c r="D24" s="9"/>
      <c r="E24" s="9"/>
      <c r="F24" s="9"/>
      <c r="G24" s="9"/>
      <c r="H24" s="9"/>
    </row>
    <row r="25" spans="1:14" ht="14.25">
      <c r="A25" s="5"/>
    </row>
    <row r="26" spans="1:14" ht="15">
      <c r="A26" s="3" t="s">
        <v>192</v>
      </c>
      <c r="N26" s="4" t="s">
        <v>185</v>
      </c>
    </row>
    <row r="27" spans="1:14" ht="15">
      <c r="A27" s="8" t="s">
        <v>193</v>
      </c>
      <c r="B27" s="9"/>
      <c r="C27" s="9"/>
      <c r="D27" s="9"/>
      <c r="E27" s="9"/>
      <c r="F27" s="9"/>
      <c r="G27" s="9"/>
      <c r="H27" s="9"/>
    </row>
    <row r="28" spans="1:14" ht="15">
      <c r="A28" s="8" t="s">
        <v>194</v>
      </c>
      <c r="B28" s="9"/>
      <c r="C28" s="9"/>
      <c r="D28" s="9"/>
      <c r="E28" s="9"/>
      <c r="F28" s="9"/>
      <c r="G28" s="9"/>
      <c r="H28" s="9"/>
    </row>
    <row r="29" spans="1:14" ht="15">
      <c r="A29" s="8" t="s">
        <v>195</v>
      </c>
      <c r="B29" s="9"/>
      <c r="C29" s="9"/>
      <c r="D29" s="9"/>
      <c r="E29" s="9"/>
      <c r="F29" s="9"/>
      <c r="G29" s="9"/>
      <c r="H29" s="9"/>
    </row>
    <row r="30" spans="1:14" ht="15">
      <c r="A30" s="8" t="s">
        <v>196</v>
      </c>
      <c r="B30" s="9"/>
      <c r="C30" s="9"/>
      <c r="D30" s="9"/>
      <c r="E30" s="9"/>
      <c r="F30" s="9"/>
      <c r="G30" s="9"/>
      <c r="H30" s="9"/>
    </row>
    <row r="31" spans="1:14" ht="15">
      <c r="A31" s="5" t="s">
        <v>197</v>
      </c>
    </row>
    <row r="32" spans="1:14" ht="15">
      <c r="A32" s="5" t="s">
        <v>198</v>
      </c>
    </row>
    <row r="33" spans="1:15" ht="14.25">
      <c r="A33" s="5"/>
    </row>
    <row r="34" spans="1:15" ht="15.75" thickBot="1">
      <c r="A34" s="3" t="s">
        <v>8</v>
      </c>
    </row>
    <row r="35" spans="1:15" ht="15.75" thickBot="1">
      <c r="A35" s="4" t="s">
        <v>199</v>
      </c>
      <c r="E35" s="12" t="s">
        <v>203</v>
      </c>
      <c r="F35">
        <f>10+F</f>
        <v>16</v>
      </c>
      <c r="G35" s="1" t="s">
        <v>204</v>
      </c>
      <c r="H35" s="12" t="s">
        <v>205</v>
      </c>
      <c r="I35">
        <f>80+E</f>
        <v>85</v>
      </c>
      <c r="J35" s="1" t="s">
        <v>206</v>
      </c>
      <c r="L35" s="7"/>
      <c r="M35" s="13" t="s">
        <v>207</v>
      </c>
      <c r="N35" s="11">
        <f>SPL+8+20*LOG10(rr)</f>
        <v>117.0823996531185</v>
      </c>
      <c r="O35" s="10" t="s">
        <v>206</v>
      </c>
    </row>
    <row r="36" spans="1:15" ht="15">
      <c r="A36" s="4"/>
    </row>
    <row r="37" spans="1:15" ht="15">
      <c r="A37" s="3" t="s">
        <v>9</v>
      </c>
    </row>
    <row r="38" spans="1:15" ht="15.75" thickBot="1">
      <c r="A38" s="4" t="s">
        <v>199</v>
      </c>
      <c r="E38" s="12" t="s">
        <v>208</v>
      </c>
      <c r="F38">
        <f>200+E*10</f>
        <v>250</v>
      </c>
      <c r="G38" s="1" t="s">
        <v>209</v>
      </c>
      <c r="H38" s="12" t="s">
        <v>210</v>
      </c>
      <c r="I38">
        <f>200+F*10</f>
        <v>260</v>
      </c>
      <c r="J38" s="1" t="s">
        <v>211</v>
      </c>
      <c r="K38" s="14" t="s">
        <v>212</v>
      </c>
      <c r="L38">
        <f>0.2+D/100</f>
        <v>0.24000000000000002</v>
      </c>
      <c r="M38" s="1" t="s">
        <v>213</v>
      </c>
      <c r="N38">
        <f>alfa*S</f>
        <v>62.400000000000006</v>
      </c>
      <c r="O38" s="1" t="s">
        <v>211</v>
      </c>
    </row>
    <row r="39" spans="1:15" ht="15.75" thickBot="1">
      <c r="A39" s="4"/>
      <c r="M39" s="13" t="s">
        <v>215</v>
      </c>
      <c r="N39" s="11">
        <f>Lw+10*LOG10(4/AA)</f>
        <v>105.15115366957389</v>
      </c>
      <c r="O39" s="10" t="s">
        <v>206</v>
      </c>
    </row>
    <row r="40" spans="1:15" ht="15">
      <c r="A40" s="4"/>
      <c r="M40" s="12"/>
      <c r="N40" s="1"/>
      <c r="O40" s="1"/>
    </row>
    <row r="41" spans="1:15" ht="15.75" thickBot="1">
      <c r="A41" s="3" t="s">
        <v>10</v>
      </c>
    </row>
    <row r="42" spans="1:15" ht="15.75" thickBot="1">
      <c r="A42" s="4" t="s">
        <v>199</v>
      </c>
      <c r="M42" s="13" t="s">
        <v>214</v>
      </c>
      <c r="N42" s="11">
        <f>Lpriv+3</f>
        <v>108.15115366957389</v>
      </c>
      <c r="O42" s="10" t="s">
        <v>206</v>
      </c>
    </row>
    <row r="43" spans="1:15" ht="15">
      <c r="A43" s="4"/>
    </row>
    <row r="44" spans="1:15" ht="15">
      <c r="A44" s="3" t="s">
        <v>11</v>
      </c>
    </row>
    <row r="45" spans="1:15" ht="15.75" thickBot="1">
      <c r="A45" s="4" t="s">
        <v>199</v>
      </c>
      <c r="E45" s="12" t="s">
        <v>216</v>
      </c>
      <c r="F45">
        <f>90+F</f>
        <v>96</v>
      </c>
      <c r="G45" s="1" t="s">
        <v>217</v>
      </c>
      <c r="H45" s="12" t="s">
        <v>218</v>
      </c>
      <c r="I45">
        <f>50+F*10</f>
        <v>110</v>
      </c>
      <c r="J45" s="1" t="s">
        <v>219</v>
      </c>
      <c r="M45" s="1" t="s">
        <v>220</v>
      </c>
      <c r="N45" s="15">
        <f>10*LOG10(35041384000000000*ff^8/((20.598997^2+ff^2)^2*(107.65265^2+ff^2)*(737.86223^2+ff^2)*(12194.217^2+ff^2)^2))</f>
        <v>-17.845171808503995</v>
      </c>
      <c r="O45" s="1" t="s">
        <v>217</v>
      </c>
    </row>
    <row r="46" spans="1:15" ht="15.75" thickBot="1">
      <c r="A46" s="6"/>
      <c r="M46" s="13" t="s">
        <v>221</v>
      </c>
      <c r="N46" s="11">
        <f>SPLlin+N45</f>
        <v>78.154828191496009</v>
      </c>
      <c r="O46" s="10" t="s">
        <v>206</v>
      </c>
    </row>
    <row r="52" spans="1:1" ht="15">
      <c r="A52" s="4" t="s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Form responses 1</vt:lpstr>
      <vt:lpstr>Solution</vt:lpstr>
      <vt:lpstr>A</vt:lpstr>
      <vt:lpstr>AA</vt:lpstr>
      <vt:lpstr>alfa</vt:lpstr>
      <vt:lpstr>B</vt:lpstr>
      <vt:lpstr>CC</vt:lpstr>
      <vt:lpstr>D</vt:lpstr>
      <vt:lpstr>E</vt:lpstr>
      <vt:lpstr>F</vt:lpstr>
      <vt:lpstr>ff</vt:lpstr>
      <vt:lpstr>Lpriv</vt:lpstr>
      <vt:lpstr>Lw</vt:lpstr>
      <vt:lpstr>rr</vt:lpstr>
      <vt:lpstr>S</vt:lpstr>
      <vt:lpstr>SPL</vt:lpstr>
      <vt:lpstr>SPLlin</vt:lpstr>
      <vt:lpstr>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created xsi:type="dcterms:W3CDTF">2019-10-27T11:15:41Z</dcterms:created>
  <dcterms:modified xsi:type="dcterms:W3CDTF">2019-10-27T12:42:33Z</dcterms:modified>
</cp:coreProperties>
</file>