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3096" yWindow="0" windowWidth="22008" windowHeight="12696"/>
  </bookViews>
  <sheets>
    <sheet name="Form Responses 1" sheetId="1" r:id="rId1"/>
    <sheet name="Solution" sheetId="2" r:id="rId2"/>
  </sheets>
  <calcPr calcId="152511"/>
</workbook>
</file>

<file path=xl/calcChain.xml><?xml version="1.0" encoding="utf-8"?>
<calcChain xmlns="http://schemas.openxmlformats.org/spreadsheetml/2006/main">
  <c r="AQ145" i="1" l="1"/>
  <c r="AQ149" i="1"/>
  <c r="AQ153" i="1"/>
  <c r="AQ133" i="1"/>
  <c r="AQ106" i="1"/>
  <c r="AQ105" i="1"/>
  <c r="AQ151" i="1"/>
  <c r="AQ150" i="1"/>
  <c r="AQ138" i="1"/>
  <c r="AQ147" i="1"/>
  <c r="AQ146" i="1"/>
  <c r="AQ104" i="1"/>
  <c r="AQ142" i="1"/>
  <c r="AQ135" i="1"/>
  <c r="AQ129" i="1"/>
  <c r="AQ127" i="1"/>
  <c r="AQ103" i="1"/>
  <c r="AQ86" i="1"/>
  <c r="AQ85" i="1"/>
  <c r="AQ84" i="1"/>
  <c r="AQ83" i="1"/>
  <c r="AQ82" i="1"/>
  <c r="AQ81" i="1"/>
  <c r="AQ80" i="1"/>
  <c r="AN155" i="1"/>
  <c r="AN153" i="1"/>
  <c r="AN151" i="1"/>
  <c r="AN150" i="1"/>
  <c r="AN138" i="1"/>
  <c r="AN147" i="1"/>
  <c r="AN146" i="1"/>
  <c r="AN140" i="1"/>
  <c r="AN139" i="1"/>
  <c r="AN127" i="1"/>
  <c r="AN119" i="1"/>
  <c r="AN69" i="1"/>
  <c r="AN87" i="1"/>
  <c r="AN84" i="1"/>
  <c r="AN83" i="1"/>
  <c r="AN82" i="1"/>
  <c r="AK155" i="1"/>
  <c r="AK151" i="1"/>
  <c r="AK150" i="1"/>
  <c r="AK147" i="1"/>
  <c r="AK146" i="1"/>
  <c r="AK127" i="1"/>
  <c r="AK117" i="1"/>
  <c r="AK113" i="1"/>
  <c r="AK107" i="1"/>
  <c r="AK96" i="1"/>
  <c r="AK95" i="1"/>
  <c r="AK85" i="1"/>
  <c r="AK81" i="1"/>
  <c r="AK74" i="1"/>
  <c r="AH153" i="1"/>
  <c r="AH152" i="1"/>
  <c r="AH151" i="1"/>
  <c r="AH150" i="1"/>
  <c r="AH144" i="1"/>
  <c r="AH148" i="1"/>
  <c r="AH138" i="1"/>
  <c r="AH147" i="1"/>
  <c r="AH146" i="1"/>
  <c r="AH132" i="1"/>
  <c r="AH143" i="1"/>
  <c r="AH124" i="1"/>
  <c r="AH137" i="1"/>
  <c r="AH136" i="1"/>
  <c r="AH130" i="1"/>
  <c r="AH127" i="1"/>
  <c r="AH126" i="1"/>
  <c r="AH123" i="1"/>
  <c r="AH122" i="1"/>
  <c r="AH121" i="1"/>
  <c r="AH120" i="1"/>
  <c r="AH78" i="1"/>
  <c r="AH112" i="1"/>
  <c r="AH110" i="1"/>
  <c r="AH107" i="1"/>
  <c r="AH102" i="1"/>
  <c r="AH101" i="1"/>
  <c r="AH98" i="1"/>
  <c r="AH97" i="1"/>
  <c r="AH84" i="1"/>
  <c r="AH83" i="1"/>
  <c r="AH82" i="1"/>
  <c r="AH76" i="1"/>
  <c r="AH67" i="1"/>
  <c r="AH44" i="1"/>
  <c r="AE149" i="1"/>
  <c r="AE153" i="1"/>
  <c r="AE151" i="1"/>
  <c r="AE150" i="1"/>
  <c r="AE147" i="1"/>
  <c r="AE146" i="1"/>
  <c r="AE139" i="1"/>
  <c r="AE118" i="1"/>
  <c r="AE116" i="1"/>
  <c r="AE115" i="1"/>
  <c r="AB145" i="1"/>
  <c r="AB149" i="1"/>
  <c r="AB154" i="1"/>
  <c r="AB153" i="1"/>
  <c r="AB133" i="1"/>
  <c r="AB106" i="1"/>
  <c r="AB105" i="1"/>
  <c r="AB152" i="1"/>
  <c r="AB151" i="1"/>
  <c r="AB144" i="1"/>
  <c r="AB148" i="1"/>
  <c r="AB138" i="1"/>
  <c r="AB147" i="1"/>
  <c r="AB146" i="1"/>
  <c r="AB104" i="1"/>
  <c r="AB132" i="1"/>
  <c r="AB143" i="1"/>
  <c r="AB142" i="1"/>
  <c r="AB140" i="1"/>
  <c r="AB139" i="1"/>
  <c r="AB125" i="1"/>
  <c r="AB37" i="1"/>
  <c r="AB124" i="1"/>
  <c r="AB137" i="1"/>
  <c r="AB136" i="1"/>
  <c r="AB135" i="1"/>
  <c r="AB134" i="1"/>
  <c r="AB130" i="1"/>
  <c r="AB129" i="1"/>
  <c r="AB127" i="1"/>
  <c r="AB126" i="1"/>
  <c r="AB123" i="1"/>
  <c r="AB122" i="1"/>
  <c r="AB121" i="1"/>
  <c r="AB120" i="1"/>
  <c r="AB119" i="1"/>
  <c r="AB78" i="1"/>
  <c r="AB118" i="1"/>
  <c r="AB116" i="1"/>
  <c r="AB115" i="1"/>
  <c r="AB114" i="1"/>
  <c r="AB112" i="1"/>
  <c r="AB111" i="1"/>
  <c r="AB110" i="1"/>
  <c r="AB109" i="1"/>
  <c r="AB108" i="1"/>
  <c r="AB96" i="1"/>
  <c r="AB95" i="1"/>
  <c r="AB92" i="1"/>
  <c r="AB86" i="1"/>
  <c r="AB85" i="1"/>
  <c r="AB81" i="1"/>
  <c r="AB80" i="1"/>
  <c r="AB77" i="1"/>
  <c r="AB76" i="1"/>
  <c r="AB75" i="1"/>
  <c r="AB73" i="1"/>
  <c r="AB36" i="1"/>
  <c r="AB35" i="1"/>
  <c r="AB34" i="1"/>
  <c r="AB33" i="1"/>
  <c r="AB32" i="1"/>
  <c r="AB31" i="1"/>
  <c r="AB30" i="1"/>
  <c r="V153" i="1"/>
  <c r="V133" i="1"/>
  <c r="V151" i="1"/>
  <c r="V150" i="1"/>
  <c r="V147" i="1"/>
  <c r="V146" i="1"/>
  <c r="V137" i="1"/>
  <c r="S149" i="1"/>
  <c r="S153" i="1"/>
  <c r="S151" i="1"/>
  <c r="S150" i="1"/>
  <c r="S138" i="1"/>
  <c r="S147" i="1"/>
  <c r="S146" i="1"/>
  <c r="S132" i="1"/>
  <c r="S143" i="1"/>
  <c r="S142" i="1"/>
  <c r="S135" i="1"/>
  <c r="S130" i="1"/>
  <c r="S127" i="1"/>
  <c r="S118" i="1"/>
  <c r="S116" i="1"/>
  <c r="S115" i="1"/>
  <c r="S85" i="1"/>
  <c r="S81" i="1"/>
  <c r="P153" i="1"/>
  <c r="P106" i="1"/>
  <c r="P151" i="1"/>
  <c r="P150" i="1"/>
  <c r="P147" i="1"/>
  <c r="P146" i="1"/>
  <c r="P142" i="1"/>
  <c r="P51" i="1"/>
  <c r="G145" i="1" l="1"/>
  <c r="G24" i="1"/>
  <c r="G23" i="1"/>
  <c r="G133" i="1"/>
  <c r="G98" i="1"/>
  <c r="H98" i="1" s="1"/>
  <c r="G97" i="1"/>
  <c r="H97" i="1" s="1"/>
  <c r="G122" i="1"/>
  <c r="G121" i="1"/>
  <c r="G37" i="1"/>
  <c r="G102" i="1"/>
  <c r="G101" i="1"/>
  <c r="H101" i="1" s="1"/>
  <c r="G131" i="1"/>
  <c r="G62" i="1"/>
  <c r="G124" i="1"/>
  <c r="H124" i="1" s="1"/>
  <c r="G120" i="1"/>
  <c r="H120" i="1" s="1"/>
  <c r="I120" i="1" s="1"/>
  <c r="G61" i="1"/>
  <c r="G28" i="1"/>
  <c r="G72" i="1"/>
  <c r="G60" i="1"/>
  <c r="G119" i="1"/>
  <c r="H119" i="1" s="1"/>
  <c r="G22" i="1"/>
  <c r="H22" i="1" s="1"/>
  <c r="G96" i="1"/>
  <c r="H96" i="1" s="1"/>
  <c r="G154" i="1"/>
  <c r="G100" i="1"/>
  <c r="G21" i="1"/>
  <c r="G59" i="1"/>
  <c r="G95" i="1"/>
  <c r="H95" i="1" s="1"/>
  <c r="G26" i="1"/>
  <c r="G79" i="1"/>
  <c r="G77" i="1"/>
  <c r="G75" i="1"/>
  <c r="H75" i="1" s="1"/>
  <c r="G68" i="1"/>
  <c r="G58" i="1"/>
  <c r="H58" i="1" s="1"/>
  <c r="G41" i="1"/>
  <c r="G57" i="1"/>
  <c r="G67" i="1"/>
  <c r="H67" i="1" s="1"/>
  <c r="I67" i="1" s="1"/>
  <c r="G78" i="1"/>
  <c r="G130" i="1"/>
  <c r="G76" i="1"/>
  <c r="G132" i="1"/>
  <c r="G143" i="1"/>
  <c r="H143" i="1" s="1"/>
  <c r="G20" i="1"/>
  <c r="G36" i="1"/>
  <c r="G29" i="1"/>
  <c r="G35" i="1"/>
  <c r="G56" i="1"/>
  <c r="G55" i="1"/>
  <c r="H55" i="1" s="1"/>
  <c r="G118" i="1"/>
  <c r="H118" i="1" s="1"/>
  <c r="G19" i="1"/>
  <c r="G137" i="1"/>
  <c r="G40" i="1"/>
  <c r="G39" i="1"/>
  <c r="G94" i="1"/>
  <c r="G54" i="1"/>
  <c r="G136" i="1"/>
  <c r="G18" i="1"/>
  <c r="G71" i="1"/>
  <c r="G93" i="1"/>
  <c r="G17" i="1"/>
  <c r="G104" i="1"/>
  <c r="G16" i="1"/>
  <c r="G34" i="1"/>
  <c r="H34" i="1" s="1"/>
  <c r="G70" i="1"/>
  <c r="G69" i="1"/>
  <c r="G129" i="1"/>
  <c r="G66" i="1"/>
  <c r="G142" i="1"/>
  <c r="H142" i="1" s="1"/>
  <c r="G15" i="1"/>
  <c r="G14" i="1"/>
  <c r="G53" i="1"/>
  <c r="G107" i="1"/>
  <c r="G27" i="1"/>
  <c r="H27" i="1" s="1"/>
  <c r="G128" i="1"/>
  <c r="G141" i="1"/>
  <c r="G52" i="1"/>
  <c r="G127" i="1"/>
  <c r="G123" i="1"/>
  <c r="G13" i="1"/>
  <c r="H13" i="1" s="1"/>
  <c r="G51" i="1"/>
  <c r="G12" i="1"/>
  <c r="G135" i="1"/>
  <c r="G149" i="1"/>
  <c r="H149" i="1" s="1"/>
  <c r="G117" i="1"/>
  <c r="G50" i="1"/>
  <c r="G74" i="1"/>
  <c r="G92" i="1"/>
  <c r="G116" i="1"/>
  <c r="G115" i="1"/>
  <c r="G11" i="1"/>
  <c r="G155" i="1"/>
  <c r="G10" i="1"/>
  <c r="G49" i="1"/>
  <c r="G48" i="1"/>
  <c r="G114" i="1"/>
  <c r="G47" i="1"/>
  <c r="G91" i="1"/>
  <c r="G46" i="1"/>
  <c r="H46" i="1" s="1"/>
  <c r="G99" i="1"/>
  <c r="G90" i="1"/>
  <c r="H90" i="1" s="1"/>
  <c r="G45" i="1"/>
  <c r="G25" i="1"/>
  <c r="G134" i="1"/>
  <c r="H134" i="1" s="1"/>
  <c r="G44" i="1"/>
  <c r="G89" i="1"/>
  <c r="G113" i="1"/>
  <c r="H113" i="1" s="1"/>
  <c r="I113" i="1" s="1"/>
  <c r="G43" i="1"/>
  <c r="G112" i="1"/>
  <c r="G111" i="1"/>
  <c r="H111" i="1" s="1"/>
  <c r="G88" i="1"/>
  <c r="G87" i="1"/>
  <c r="G33" i="1"/>
  <c r="G140" i="1"/>
  <c r="G153" i="1"/>
  <c r="G32" i="1"/>
  <c r="H32" i="1" s="1"/>
  <c r="G65" i="1"/>
  <c r="H65" i="1" s="1"/>
  <c r="I65" i="1" s="1"/>
  <c r="G86" i="1"/>
  <c r="G85" i="1"/>
  <c r="H85" i="1" s="1"/>
  <c r="G9" i="1"/>
  <c r="G84" i="1"/>
  <c r="G125" i="1"/>
  <c r="G83" i="1"/>
  <c r="G82" i="1"/>
  <c r="G81" i="1"/>
  <c r="G110" i="1"/>
  <c r="G64" i="1"/>
  <c r="G103" i="1"/>
  <c r="G42" i="1"/>
  <c r="G8" i="1"/>
  <c r="H8" i="1" s="1"/>
  <c r="I8" i="1" s="1"/>
  <c r="G7" i="1"/>
  <c r="G6" i="1"/>
  <c r="H6" i="1" s="1"/>
  <c r="G5" i="1"/>
  <c r="G4" i="1"/>
  <c r="G38" i="1"/>
  <c r="G63" i="1"/>
  <c r="G31" i="1"/>
  <c r="H31" i="1" s="1"/>
  <c r="G80" i="1"/>
  <c r="G139" i="1"/>
  <c r="G73" i="1"/>
  <c r="H73" i="1" s="1"/>
  <c r="G109" i="1"/>
  <c r="G3" i="1"/>
  <c r="G108" i="1"/>
  <c r="G138" i="1"/>
  <c r="H138" i="1" s="1"/>
  <c r="G126" i="1"/>
  <c r="G106" i="1"/>
  <c r="H106" i="1" s="1"/>
  <c r="I106" i="1" s="1"/>
  <c r="G147" i="1"/>
  <c r="G105" i="1"/>
  <c r="H105" i="1" s="1"/>
  <c r="G144" i="1"/>
  <c r="H144" i="1" s="1"/>
  <c r="G152" i="1"/>
  <c r="G148" i="1"/>
  <c r="G151" i="1"/>
  <c r="G146" i="1"/>
  <c r="H146" i="1" s="1"/>
  <c r="G30" i="1"/>
  <c r="G150" i="1"/>
  <c r="H9" i="1" l="1"/>
  <c r="I9" i="1" s="1"/>
  <c r="J9" i="1" s="1"/>
  <c r="K9" i="1" s="1"/>
  <c r="I90" i="1"/>
  <c r="I142" i="1"/>
  <c r="J142" i="1" s="1"/>
  <c r="K142" i="1" s="1"/>
  <c r="I95" i="1"/>
  <c r="H78" i="1"/>
  <c r="I78" i="1" s="1"/>
  <c r="J78" i="1" s="1"/>
  <c r="K78" i="1" s="1"/>
  <c r="H53" i="1"/>
  <c r="H63" i="1"/>
  <c r="I63" i="1" s="1"/>
  <c r="H91" i="1"/>
  <c r="I91" i="1" s="1"/>
  <c r="H130" i="1"/>
  <c r="I130" i="1" s="1"/>
  <c r="J130" i="1" s="1"/>
  <c r="K130" i="1" s="1"/>
  <c r="H122" i="1"/>
  <c r="I122" i="1" s="1"/>
  <c r="H103" i="1"/>
  <c r="H128" i="1"/>
  <c r="I128" i="1" s="1"/>
  <c r="H5" i="1"/>
  <c r="I5" i="1" s="1"/>
  <c r="H60" i="1"/>
  <c r="I60" i="1" s="1"/>
  <c r="J60" i="1" s="1"/>
  <c r="K60" i="1" s="1"/>
  <c r="H57" i="1"/>
  <c r="I57" i="1" s="1"/>
  <c r="J57" i="1" s="1"/>
  <c r="H102" i="1"/>
  <c r="I102" i="1" s="1"/>
  <c r="H127" i="1"/>
  <c r="H145" i="1"/>
  <c r="H11" i="1"/>
  <c r="I11" i="1" s="1"/>
  <c r="H18" i="1"/>
  <c r="H154" i="1"/>
  <c r="I154" i="1" s="1"/>
  <c r="H76" i="1"/>
  <c r="I76" i="1" s="1"/>
  <c r="J90" i="1"/>
  <c r="K90" i="1" s="1"/>
  <c r="H151" i="1"/>
  <c r="H82" i="1"/>
  <c r="I82" i="1" s="1"/>
  <c r="H15" i="1"/>
  <c r="I15" i="1" s="1"/>
  <c r="H23" i="1"/>
  <c r="I23" i="1" s="1"/>
  <c r="H36" i="1"/>
  <c r="I36" i="1" s="1"/>
  <c r="J113" i="1"/>
  <c r="K113" i="1" s="1"/>
  <c r="I31" i="1"/>
  <c r="H71" i="1"/>
  <c r="I105" i="1"/>
  <c r="J105" i="1" s="1"/>
  <c r="H88" i="1"/>
  <c r="I88" i="1" s="1"/>
  <c r="J88" i="1" s="1"/>
  <c r="I134" i="1"/>
  <c r="I46" i="1"/>
  <c r="I22" i="1"/>
  <c r="J22" i="1" s="1"/>
  <c r="K22" i="1" s="1"/>
  <c r="J8" i="1"/>
  <c r="H33" i="1"/>
  <c r="I33" i="1" s="1"/>
  <c r="J33" i="1" s="1"/>
  <c r="H10" i="1"/>
  <c r="H35" i="1"/>
  <c r="I35" i="1" s="1"/>
  <c r="H41" i="1"/>
  <c r="I41" i="1" s="1"/>
  <c r="H59" i="1"/>
  <c r="I59" i="1" s="1"/>
  <c r="J59" i="1" s="1"/>
  <c r="I138" i="1"/>
  <c r="J138" i="1" s="1"/>
  <c r="H125" i="1"/>
  <c r="I125" i="1" s="1"/>
  <c r="J125" i="1" s="1"/>
  <c r="H153" i="1"/>
  <c r="I153" i="1" s="1"/>
  <c r="H155" i="1"/>
  <c r="I155" i="1" s="1"/>
  <c r="H141" i="1"/>
  <c r="I141" i="1" s="1"/>
  <c r="I144" i="1"/>
  <c r="J144" i="1" s="1"/>
  <c r="H80" i="1"/>
  <c r="I80" i="1" s="1"/>
  <c r="J80" i="1" s="1"/>
  <c r="H7" i="1"/>
  <c r="I7" i="1" s="1"/>
  <c r="H43" i="1"/>
  <c r="H48" i="1"/>
  <c r="I48" i="1" s="1"/>
  <c r="H51" i="1"/>
  <c r="H14" i="1"/>
  <c r="I14" i="1" s="1"/>
  <c r="J14" i="1" s="1"/>
  <c r="H69" i="1"/>
  <c r="H30" i="1"/>
  <c r="H147" i="1"/>
  <c r="H42" i="1"/>
  <c r="H64" i="1"/>
  <c r="I64" i="1" s="1"/>
  <c r="J64" i="1" s="1"/>
  <c r="H81" i="1"/>
  <c r="I81" i="1" s="1"/>
  <c r="H86" i="1"/>
  <c r="I111" i="1"/>
  <c r="J111" i="1" s="1"/>
  <c r="H44" i="1"/>
  <c r="I44" i="1" s="1"/>
  <c r="J44" i="1" s="1"/>
  <c r="K44" i="1" s="1"/>
  <c r="H70" i="1"/>
  <c r="I55" i="1"/>
  <c r="J55" i="1" s="1"/>
  <c r="J67" i="1"/>
  <c r="K67" i="1" s="1"/>
  <c r="H126" i="1"/>
  <c r="H108" i="1"/>
  <c r="I108" i="1" s="1"/>
  <c r="J108" i="1" s="1"/>
  <c r="H109" i="1"/>
  <c r="I109" i="1" s="1"/>
  <c r="H4" i="1"/>
  <c r="H84" i="1"/>
  <c r="I84" i="1" s="1"/>
  <c r="H87" i="1"/>
  <c r="H45" i="1"/>
  <c r="I45" i="1" s="1"/>
  <c r="H99" i="1"/>
  <c r="I99" i="1" s="1"/>
  <c r="H47" i="1"/>
  <c r="I47" i="1" s="1"/>
  <c r="H50" i="1"/>
  <c r="H19" i="1"/>
  <c r="H77" i="1"/>
  <c r="I77" i="1" s="1"/>
  <c r="H152" i="1"/>
  <c r="I32" i="1"/>
  <c r="J32" i="1" s="1"/>
  <c r="H117" i="1"/>
  <c r="H135" i="1"/>
  <c r="H66" i="1"/>
  <c r="I66" i="1" s="1"/>
  <c r="J66" i="1" s="1"/>
  <c r="H39" i="1"/>
  <c r="I39" i="1" s="1"/>
  <c r="H68" i="1"/>
  <c r="H100" i="1"/>
  <c r="H62" i="1"/>
  <c r="I146" i="1"/>
  <c r="H110" i="1"/>
  <c r="I110" i="1" s="1"/>
  <c r="I85" i="1"/>
  <c r="J85" i="1" s="1"/>
  <c r="J120" i="1"/>
  <c r="I103" i="1"/>
  <c r="J103" i="1" s="1"/>
  <c r="H123" i="1"/>
  <c r="H17" i="1"/>
  <c r="J106" i="1"/>
  <c r="I73" i="1"/>
  <c r="H38" i="1"/>
  <c r="I38" i="1" s="1"/>
  <c r="J65" i="1"/>
  <c r="I115" i="1"/>
  <c r="H148" i="1"/>
  <c r="H16" i="1"/>
  <c r="H137" i="1"/>
  <c r="I137" i="1" s="1"/>
  <c r="J137" i="1" s="1"/>
  <c r="I143" i="1"/>
  <c r="J143" i="1" s="1"/>
  <c r="H28" i="1"/>
  <c r="I101" i="1"/>
  <c r="I6" i="1"/>
  <c r="J6" i="1" s="1"/>
  <c r="H92" i="1"/>
  <c r="I92" i="1" s="1"/>
  <c r="H54" i="1"/>
  <c r="I54" i="1" s="1"/>
  <c r="H37" i="1"/>
  <c r="H3" i="1"/>
  <c r="H115" i="1"/>
  <c r="H26" i="1"/>
  <c r="I98" i="1"/>
  <c r="J98" i="1" s="1"/>
  <c r="K98" i="1" s="1"/>
  <c r="H107" i="1"/>
  <c r="I107" i="1" s="1"/>
  <c r="H25" i="1"/>
  <c r="I25" i="1" s="1"/>
  <c r="H89" i="1"/>
  <c r="H114" i="1"/>
  <c r="I114" i="1" s="1"/>
  <c r="J114" i="1" s="1"/>
  <c r="H116" i="1"/>
  <c r="I149" i="1"/>
  <c r="J149" i="1" s="1"/>
  <c r="H12" i="1"/>
  <c r="H52" i="1"/>
  <c r="I52" i="1" s="1"/>
  <c r="J52" i="1" s="1"/>
  <c r="I27" i="1"/>
  <c r="I34" i="1"/>
  <c r="H104" i="1"/>
  <c r="H94" i="1"/>
  <c r="I118" i="1"/>
  <c r="J118" i="1" s="1"/>
  <c r="H29" i="1"/>
  <c r="I29" i="1" s="1"/>
  <c r="J29" i="1" s="1"/>
  <c r="H132" i="1"/>
  <c r="I58" i="1"/>
  <c r="J58" i="1" s="1"/>
  <c r="K58" i="1" s="1"/>
  <c r="I75" i="1"/>
  <c r="H79" i="1"/>
  <c r="I119" i="1"/>
  <c r="H61" i="1"/>
  <c r="H121" i="1"/>
  <c r="I121" i="1" s="1"/>
  <c r="K106" i="1"/>
  <c r="H139" i="1"/>
  <c r="I139" i="1" s="1"/>
  <c r="H83" i="1"/>
  <c r="H140" i="1"/>
  <c r="H112" i="1"/>
  <c r="H49" i="1"/>
  <c r="H74" i="1"/>
  <c r="I13" i="1"/>
  <c r="J13" i="1" s="1"/>
  <c r="H129" i="1"/>
  <c r="H93" i="1"/>
  <c r="H40" i="1"/>
  <c r="H56" i="1"/>
  <c r="I56" i="1" s="1"/>
  <c r="H20" i="1"/>
  <c r="I20" i="1" s="1"/>
  <c r="J20" i="1" s="1"/>
  <c r="H21" i="1"/>
  <c r="H72" i="1"/>
  <c r="I72" i="1" s="1"/>
  <c r="I124" i="1"/>
  <c r="J124" i="1" s="1"/>
  <c r="H131" i="1"/>
  <c r="I131" i="1" s="1"/>
  <c r="I97" i="1"/>
  <c r="J97" i="1" s="1"/>
  <c r="K97" i="1" s="1"/>
  <c r="H133" i="1"/>
  <c r="J34" i="1"/>
  <c r="K34" i="1" s="1"/>
  <c r="H136" i="1"/>
  <c r="I136" i="1" s="1"/>
  <c r="I96" i="1"/>
  <c r="J96" i="1" s="1"/>
  <c r="K96" i="1" s="1"/>
  <c r="L96" i="1" s="1"/>
  <c r="H24" i="1"/>
  <c r="H150" i="1"/>
  <c r="L142" i="1" l="1"/>
  <c r="U142" i="1" s="1"/>
  <c r="V142" i="1" s="1"/>
  <c r="O142" i="1"/>
  <c r="J154" i="1"/>
  <c r="K154" i="1" s="1"/>
  <c r="J23" i="1"/>
  <c r="K23" i="1" s="1"/>
  <c r="I50" i="1"/>
  <c r="J50" i="1" s="1"/>
  <c r="I16" i="1"/>
  <c r="J16" i="1" s="1"/>
  <c r="K16" i="1" s="1"/>
  <c r="I127" i="1"/>
  <c r="J127" i="1" s="1"/>
  <c r="K127" i="1" s="1"/>
  <c r="J91" i="1"/>
  <c r="K91" i="1" s="1"/>
  <c r="K143" i="1"/>
  <c r="U143" i="1" s="1"/>
  <c r="V143" i="1" s="1"/>
  <c r="J134" i="1"/>
  <c r="K134" i="1" s="1"/>
  <c r="L134" i="1" s="1"/>
  <c r="J36" i="1"/>
  <c r="K36" i="1" s="1"/>
  <c r="J122" i="1"/>
  <c r="K122" i="1" s="1"/>
  <c r="J99" i="1"/>
  <c r="K99" i="1" s="1"/>
  <c r="L99" i="1" s="1"/>
  <c r="J30" i="1"/>
  <c r="K30" i="1" s="1"/>
  <c r="J7" i="1"/>
  <c r="K7" i="1" s="1"/>
  <c r="J5" i="1"/>
  <c r="K5" i="1" s="1"/>
  <c r="J82" i="1"/>
  <c r="K82" i="1" s="1"/>
  <c r="L82" i="1" s="1"/>
  <c r="L58" i="1"/>
  <c r="AJ58" i="1" s="1"/>
  <c r="AK58" i="1" s="1"/>
  <c r="J72" i="1"/>
  <c r="K72" i="1" s="1"/>
  <c r="L72" i="1" s="1"/>
  <c r="I30" i="1"/>
  <c r="J95" i="1"/>
  <c r="L113" i="1"/>
  <c r="AJ113" i="1" s="1"/>
  <c r="U113" i="1"/>
  <c r="V113" i="1" s="1"/>
  <c r="AP96" i="1"/>
  <c r="AQ96" i="1" s="1"/>
  <c r="AM96" i="1"/>
  <c r="AN96" i="1" s="1"/>
  <c r="AD96" i="1"/>
  <c r="AE96" i="1" s="1"/>
  <c r="X96" i="1"/>
  <c r="Y96" i="1" s="1"/>
  <c r="AA96" i="1"/>
  <c r="R96" i="1"/>
  <c r="S96" i="1" s="1"/>
  <c r="L78" i="1"/>
  <c r="AJ78" i="1" s="1"/>
  <c r="AK78" i="1" s="1"/>
  <c r="AJ22" i="1"/>
  <c r="AK22" i="1" s="1"/>
  <c r="J63" i="1"/>
  <c r="L44" i="1"/>
  <c r="AG44" i="1" s="1"/>
  <c r="L90" i="1"/>
  <c r="AG90" i="1" s="1"/>
  <c r="AH90" i="1" s="1"/>
  <c r="I145" i="1"/>
  <c r="J145" i="1" s="1"/>
  <c r="K57" i="1"/>
  <c r="L57" i="1" s="1"/>
  <c r="J11" i="1"/>
  <c r="K11" i="1" s="1"/>
  <c r="L11" i="1" s="1"/>
  <c r="AP142" i="1"/>
  <c r="AM142" i="1"/>
  <c r="AN142" i="1" s="1"/>
  <c r="AD142" i="1"/>
  <c r="AE142" i="1" s="1"/>
  <c r="X142" i="1"/>
  <c r="AA142" i="1"/>
  <c r="J31" i="1"/>
  <c r="K31" i="1" s="1"/>
  <c r="AJ142" i="1"/>
  <c r="AK142" i="1" s="1"/>
  <c r="L106" i="1"/>
  <c r="O106" i="1" s="1"/>
  <c r="I53" i="1"/>
  <c r="L22" i="1"/>
  <c r="AG22" i="1" s="1"/>
  <c r="AH22" i="1" s="1"/>
  <c r="J53" i="1"/>
  <c r="K8" i="1"/>
  <c r="J38" i="1"/>
  <c r="K38" i="1" s="1"/>
  <c r="K59" i="1"/>
  <c r="L59" i="1" s="1"/>
  <c r="K63" i="1"/>
  <c r="L63" i="1" s="1"/>
  <c r="I151" i="1"/>
  <c r="L98" i="1"/>
  <c r="O98" i="1" s="1"/>
  <c r="P98" i="1" s="1"/>
  <c r="U98" i="1"/>
  <c r="V98" i="1" s="1"/>
  <c r="AM58" i="1"/>
  <c r="AN58" i="1" s="1"/>
  <c r="X58" i="1"/>
  <c r="Y58" i="1" s="1"/>
  <c r="U58" i="1"/>
  <c r="V58" i="1" s="1"/>
  <c r="I18" i="1"/>
  <c r="J18" i="1" s="1"/>
  <c r="K85" i="1"/>
  <c r="L85" i="1" s="1"/>
  <c r="J35" i="1"/>
  <c r="K35" i="1" s="1"/>
  <c r="J107" i="1"/>
  <c r="K107" i="1" s="1"/>
  <c r="AG96" i="1"/>
  <c r="AH96" i="1" s="1"/>
  <c r="U96" i="1"/>
  <c r="V96" i="1" s="1"/>
  <c r="AJ96" i="1"/>
  <c r="O96" i="1"/>
  <c r="P96" i="1" s="1"/>
  <c r="J54" i="1"/>
  <c r="K54" i="1" s="1"/>
  <c r="L143" i="1"/>
  <c r="AJ143" i="1" s="1"/>
  <c r="AK143" i="1" s="1"/>
  <c r="J110" i="1"/>
  <c r="K110" i="1" s="1"/>
  <c r="K124" i="1"/>
  <c r="I140" i="1"/>
  <c r="J140" i="1" s="1"/>
  <c r="I17" i="1"/>
  <c r="I100" i="1"/>
  <c r="J100" i="1" s="1"/>
  <c r="I10" i="1"/>
  <c r="J10" i="1" s="1"/>
  <c r="K10" i="1" s="1"/>
  <c r="J56" i="1"/>
  <c r="K56" i="1" s="1"/>
  <c r="I61" i="1"/>
  <c r="J61" i="1" s="1"/>
  <c r="K61" i="1" s="1"/>
  <c r="I12" i="1"/>
  <c r="J12" i="1" s="1"/>
  <c r="K12" i="1" s="1"/>
  <c r="I89" i="1"/>
  <c r="J89" i="1" s="1"/>
  <c r="K88" i="1"/>
  <c r="L88" i="1" s="1"/>
  <c r="K120" i="1"/>
  <c r="J92" i="1"/>
  <c r="K92" i="1" s="1"/>
  <c r="J15" i="1"/>
  <c r="K15" i="1" s="1"/>
  <c r="K66" i="1"/>
  <c r="J47" i="1"/>
  <c r="K47" i="1" s="1"/>
  <c r="I126" i="1"/>
  <c r="J126" i="1" s="1"/>
  <c r="I51" i="1"/>
  <c r="J51" i="1" s="1"/>
  <c r="J141" i="1"/>
  <c r="L154" i="1"/>
  <c r="O154" i="1" s="1"/>
  <c r="P154" i="1" s="1"/>
  <c r="I24" i="1"/>
  <c r="J24" i="1" s="1"/>
  <c r="I133" i="1"/>
  <c r="I40" i="1"/>
  <c r="J40" i="1" s="1"/>
  <c r="K40" i="1" s="1"/>
  <c r="I74" i="1"/>
  <c r="J74" i="1" s="1"/>
  <c r="K149" i="1"/>
  <c r="L149" i="1" s="1"/>
  <c r="I83" i="1"/>
  <c r="L30" i="1"/>
  <c r="O30" i="1" s="1"/>
  <c r="P30" i="1" s="1"/>
  <c r="J101" i="1"/>
  <c r="K101" i="1" s="1"/>
  <c r="K137" i="1"/>
  <c r="I123" i="1"/>
  <c r="J123" i="1" s="1"/>
  <c r="K123" i="1" s="1"/>
  <c r="I135" i="1"/>
  <c r="J135" i="1" s="1"/>
  <c r="K135" i="1" s="1"/>
  <c r="J128" i="1"/>
  <c r="J48" i="1"/>
  <c r="K48" i="1" s="1"/>
  <c r="J41" i="1"/>
  <c r="K41" i="1" s="1"/>
  <c r="K33" i="1"/>
  <c r="J46" i="1"/>
  <c r="K46" i="1" s="1"/>
  <c r="L130" i="1"/>
  <c r="AJ130" i="1" s="1"/>
  <c r="AK130" i="1" s="1"/>
  <c r="L97" i="1"/>
  <c r="AG97" i="1" s="1"/>
  <c r="I94" i="1"/>
  <c r="I132" i="1"/>
  <c r="J132" i="1" s="1"/>
  <c r="K132" i="1" s="1"/>
  <c r="J136" i="1"/>
  <c r="K136" i="1" s="1"/>
  <c r="K6" i="1"/>
  <c r="I28" i="1"/>
  <c r="J28" i="1" s="1"/>
  <c r="I148" i="1"/>
  <c r="J148" i="1" s="1"/>
  <c r="J77" i="1"/>
  <c r="J84" i="1"/>
  <c r="K84" i="1" s="1"/>
  <c r="I70" i="1"/>
  <c r="I87" i="1"/>
  <c r="J87" i="1" s="1"/>
  <c r="K87" i="1" s="1"/>
  <c r="I69" i="1"/>
  <c r="J155" i="1"/>
  <c r="I71" i="1"/>
  <c r="J71" i="1" s="1"/>
  <c r="K64" i="1"/>
  <c r="L64" i="1" s="1"/>
  <c r="J73" i="1"/>
  <c r="K73" i="1" s="1"/>
  <c r="I21" i="1"/>
  <c r="J21" i="1" s="1"/>
  <c r="J119" i="1"/>
  <c r="I3" i="1"/>
  <c r="I86" i="1"/>
  <c r="K138" i="1"/>
  <c r="L138" i="1" s="1"/>
  <c r="I104" i="1"/>
  <c r="J104" i="1" s="1"/>
  <c r="J115" i="1"/>
  <c r="K115" i="1" s="1"/>
  <c r="I4" i="1"/>
  <c r="J81" i="1"/>
  <c r="K81" i="1" s="1"/>
  <c r="J102" i="1"/>
  <c r="I129" i="1"/>
  <c r="J129" i="1" s="1"/>
  <c r="J75" i="1"/>
  <c r="I37" i="1"/>
  <c r="K65" i="1"/>
  <c r="J76" i="1"/>
  <c r="K76" i="1" s="1"/>
  <c r="L60" i="1"/>
  <c r="U60" i="1" s="1"/>
  <c r="V60" i="1" s="1"/>
  <c r="I147" i="1"/>
  <c r="J147" i="1" s="1"/>
  <c r="K111" i="1"/>
  <c r="J146" i="1"/>
  <c r="K146" i="1" s="1"/>
  <c r="I116" i="1"/>
  <c r="J116" i="1" s="1"/>
  <c r="K116" i="1" s="1"/>
  <c r="I19" i="1"/>
  <c r="J19" i="1" s="1"/>
  <c r="K14" i="1"/>
  <c r="L14" i="1" s="1"/>
  <c r="K80" i="1"/>
  <c r="L67" i="1"/>
  <c r="AJ67" i="1" s="1"/>
  <c r="AK67" i="1" s="1"/>
  <c r="K20" i="1"/>
  <c r="L20" i="1"/>
  <c r="I79" i="1"/>
  <c r="J27" i="1"/>
  <c r="K27" i="1" s="1"/>
  <c r="J25" i="1"/>
  <c r="K25" i="1" s="1"/>
  <c r="I26" i="1"/>
  <c r="J26" i="1" s="1"/>
  <c r="J39" i="1"/>
  <c r="K32" i="1"/>
  <c r="K55" i="1"/>
  <c r="K125" i="1"/>
  <c r="K105" i="1"/>
  <c r="L105" i="1" s="1"/>
  <c r="J86" i="1"/>
  <c r="J109" i="1"/>
  <c r="K13" i="1"/>
  <c r="I112" i="1"/>
  <c r="J112" i="1" s="1"/>
  <c r="J121" i="1"/>
  <c r="K29" i="1"/>
  <c r="L34" i="1"/>
  <c r="AG34" i="1" s="1"/>
  <c r="AH34" i="1" s="1"/>
  <c r="I42" i="1"/>
  <c r="J153" i="1"/>
  <c r="I117" i="1"/>
  <c r="I62" i="1"/>
  <c r="L9" i="1"/>
  <c r="AJ9" i="1" s="1"/>
  <c r="AK9" i="1" s="1"/>
  <c r="K108" i="1"/>
  <c r="I43" i="1"/>
  <c r="J43" i="1" s="1"/>
  <c r="I93" i="1"/>
  <c r="J93" i="1" s="1"/>
  <c r="J45" i="1"/>
  <c r="K45" i="1" s="1"/>
  <c r="K144" i="1"/>
  <c r="K103" i="1"/>
  <c r="J131" i="1"/>
  <c r="K131" i="1" s="1"/>
  <c r="I49" i="1"/>
  <c r="J139" i="1"/>
  <c r="K139" i="1" s="1"/>
  <c r="K118" i="1"/>
  <c r="K52" i="1"/>
  <c r="K114" i="1"/>
  <c r="I68" i="1"/>
  <c r="I152" i="1"/>
  <c r="J152" i="1" s="1"/>
  <c r="I150" i="1"/>
  <c r="R58" i="1" l="1"/>
  <c r="S58" i="1" s="1"/>
  <c r="AA58" i="1"/>
  <c r="AB58" i="1" s="1"/>
  <c r="AD58" i="1"/>
  <c r="AE58" i="1" s="1"/>
  <c r="AP58" i="1"/>
  <c r="AQ58" i="1" s="1"/>
  <c r="R142" i="1"/>
  <c r="O143" i="1"/>
  <c r="P143" i="1" s="1"/>
  <c r="L7" i="1"/>
  <c r="R7" i="1" s="1"/>
  <c r="S7" i="1" s="1"/>
  <c r="O58" i="1"/>
  <c r="P58" i="1" s="1"/>
  <c r="AG142" i="1"/>
  <c r="AH142" i="1" s="1"/>
  <c r="Y142" i="1"/>
  <c r="AR142" i="1" s="1"/>
  <c r="L23" i="1"/>
  <c r="AJ23" i="1" s="1"/>
  <c r="AK23" i="1" s="1"/>
  <c r="U30" i="1"/>
  <c r="V30" i="1" s="1"/>
  <c r="AG58" i="1"/>
  <c r="AH58" i="1" s="1"/>
  <c r="L36" i="1"/>
  <c r="AJ36" i="1" s="1"/>
  <c r="AK36" i="1" s="1"/>
  <c r="AG143" i="1"/>
  <c r="U134" i="1"/>
  <c r="V134" i="1" s="1"/>
  <c r="O134" i="1"/>
  <c r="P134" i="1" s="1"/>
  <c r="K50" i="1"/>
  <c r="L50" i="1"/>
  <c r="AJ50" i="1" s="1"/>
  <c r="AK50" i="1" s="1"/>
  <c r="O34" i="1"/>
  <c r="P34" i="1" s="1"/>
  <c r="U34" i="1"/>
  <c r="V34" i="1" s="1"/>
  <c r="O90" i="1"/>
  <c r="P90" i="1" s="1"/>
  <c r="O60" i="1"/>
  <c r="P60" i="1" s="1"/>
  <c r="U23" i="1"/>
  <c r="V23" i="1" s="1"/>
  <c r="U106" i="1"/>
  <c r="AJ90" i="1"/>
  <c r="AK90" i="1" s="1"/>
  <c r="O23" i="1"/>
  <c r="P23" i="1" s="1"/>
  <c r="O113" i="1"/>
  <c r="P113" i="1" s="1"/>
  <c r="AJ34" i="1"/>
  <c r="AK34" i="1" s="1"/>
  <c r="K53" i="1"/>
  <c r="L122" i="1"/>
  <c r="AP122" i="1" s="1"/>
  <c r="AQ122" i="1" s="1"/>
  <c r="AJ44" i="1"/>
  <c r="AK44" i="1" s="1"/>
  <c r="AG113" i="1"/>
  <c r="AH113" i="1" s="1"/>
  <c r="K95" i="1"/>
  <c r="AJ97" i="1"/>
  <c r="AK97" i="1" s="1"/>
  <c r="L127" i="1"/>
  <c r="U127" i="1" s="1"/>
  <c r="V127" i="1" s="1"/>
  <c r="L115" i="1"/>
  <c r="AJ115" i="1" s="1"/>
  <c r="AK115" i="1" s="1"/>
  <c r="L12" i="1"/>
  <c r="AG12" i="1" s="1"/>
  <c r="AH12" i="1" s="1"/>
  <c r="L38" i="1"/>
  <c r="AJ38" i="1" s="1"/>
  <c r="AK38" i="1" s="1"/>
  <c r="L31" i="1"/>
  <c r="AJ31" i="1" s="1"/>
  <c r="AK31" i="1" s="1"/>
  <c r="L54" i="1"/>
  <c r="AJ54" i="1" s="1"/>
  <c r="AK54" i="1" s="1"/>
  <c r="AP63" i="1"/>
  <c r="AQ63" i="1" s="1"/>
  <c r="AM63" i="1"/>
  <c r="AN63" i="1" s="1"/>
  <c r="AA63" i="1"/>
  <c r="AB63" i="1" s="1"/>
  <c r="AD63" i="1"/>
  <c r="AE63" i="1" s="1"/>
  <c r="X63" i="1"/>
  <c r="Y63" i="1" s="1"/>
  <c r="R63" i="1"/>
  <c r="S63" i="1" s="1"/>
  <c r="L10" i="1"/>
  <c r="AG10" i="1" s="1"/>
  <c r="AH10" i="1" s="1"/>
  <c r="AP99" i="1"/>
  <c r="AQ99" i="1" s="1"/>
  <c r="AD99" i="1"/>
  <c r="AE99" i="1" s="1"/>
  <c r="AM99" i="1"/>
  <c r="AN99" i="1" s="1"/>
  <c r="X99" i="1"/>
  <c r="Y99" i="1" s="1"/>
  <c r="R99" i="1"/>
  <c r="S99" i="1" s="1"/>
  <c r="AA99" i="1"/>
  <c r="AB99" i="1" s="1"/>
  <c r="L132" i="1"/>
  <c r="AJ132" i="1" s="1"/>
  <c r="AK132" i="1" s="1"/>
  <c r="L53" i="1"/>
  <c r="AG53" i="1" s="1"/>
  <c r="AH53" i="1" s="1"/>
  <c r="L35" i="1"/>
  <c r="AJ35" i="1" s="1"/>
  <c r="AK35" i="1" s="1"/>
  <c r="AG35" i="1"/>
  <c r="AH35" i="1" s="1"/>
  <c r="L108" i="1"/>
  <c r="AJ108" i="1" s="1"/>
  <c r="AK108" i="1" s="1"/>
  <c r="L111" i="1"/>
  <c r="U111" i="1" s="1"/>
  <c r="V111" i="1" s="1"/>
  <c r="AP105" i="1"/>
  <c r="AA105" i="1"/>
  <c r="AM105" i="1"/>
  <c r="AN105" i="1" s="1"/>
  <c r="AD105" i="1"/>
  <c r="AE105" i="1" s="1"/>
  <c r="X105" i="1"/>
  <c r="Y105" i="1" s="1"/>
  <c r="R105" i="1"/>
  <c r="S105" i="1" s="1"/>
  <c r="L118" i="1"/>
  <c r="O118" i="1" s="1"/>
  <c r="P118" i="1" s="1"/>
  <c r="AM9" i="1"/>
  <c r="AN9" i="1" s="1"/>
  <c r="AP9" i="1"/>
  <c r="AQ9" i="1" s="1"/>
  <c r="X9" i="1"/>
  <c r="Y9" i="1" s="1"/>
  <c r="AD9" i="1"/>
  <c r="AE9" i="1" s="1"/>
  <c r="AA9" i="1"/>
  <c r="AB9" i="1" s="1"/>
  <c r="R9" i="1"/>
  <c r="S9" i="1" s="1"/>
  <c r="U154" i="1"/>
  <c r="V154" i="1" s="1"/>
  <c r="U9" i="1"/>
  <c r="V9" i="1" s="1"/>
  <c r="L139" i="1"/>
  <c r="AG139" i="1" s="1"/>
  <c r="AH139" i="1" s="1"/>
  <c r="AP14" i="1"/>
  <c r="AQ14" i="1" s="1"/>
  <c r="AM14" i="1"/>
  <c r="AN14" i="1" s="1"/>
  <c r="AD14" i="1"/>
  <c r="AE14" i="1" s="1"/>
  <c r="AA14" i="1"/>
  <c r="AB14" i="1" s="1"/>
  <c r="X14" i="1"/>
  <c r="Y14" i="1" s="1"/>
  <c r="R14" i="1"/>
  <c r="S14" i="1" s="1"/>
  <c r="L65" i="1"/>
  <c r="AG65" i="1" s="1"/>
  <c r="AH65" i="1" s="1"/>
  <c r="AM138" i="1"/>
  <c r="AP138" i="1"/>
  <c r="AA138" i="1"/>
  <c r="AD138" i="1"/>
  <c r="AE138" i="1" s="1"/>
  <c r="X138" i="1"/>
  <c r="Y138" i="1" s="1"/>
  <c r="R138" i="1"/>
  <c r="L6" i="1"/>
  <c r="O6" i="1" s="1"/>
  <c r="P6" i="1" s="1"/>
  <c r="L92" i="1"/>
  <c r="O92" i="1" s="1"/>
  <c r="P92" i="1" s="1"/>
  <c r="AP98" i="1"/>
  <c r="AQ98" i="1" s="1"/>
  <c r="AM98" i="1"/>
  <c r="AN98" i="1" s="1"/>
  <c r="AA98" i="1"/>
  <c r="AB98" i="1" s="1"/>
  <c r="AD98" i="1"/>
  <c r="AE98" i="1" s="1"/>
  <c r="X98" i="1"/>
  <c r="Y98" i="1" s="1"/>
  <c r="R98" i="1"/>
  <c r="U59" i="1"/>
  <c r="V59" i="1" s="1"/>
  <c r="AG59" i="1"/>
  <c r="AH59" i="1" s="1"/>
  <c r="O59" i="1"/>
  <c r="P59" i="1" s="1"/>
  <c r="AJ59" i="1"/>
  <c r="AK59" i="1" s="1"/>
  <c r="O130" i="1"/>
  <c r="P130" i="1" s="1"/>
  <c r="AM106" i="1"/>
  <c r="AN106" i="1" s="1"/>
  <c r="AP106" i="1"/>
  <c r="AD106" i="1"/>
  <c r="AE106" i="1" s="1"/>
  <c r="R106" i="1"/>
  <c r="S106" i="1" s="1"/>
  <c r="AA106" i="1"/>
  <c r="X106" i="1"/>
  <c r="Y106" i="1" s="1"/>
  <c r="AG11" i="1"/>
  <c r="AH11" i="1" s="1"/>
  <c r="AJ11" i="1"/>
  <c r="AK11" i="1" s="1"/>
  <c r="U11" i="1"/>
  <c r="V11" i="1" s="1"/>
  <c r="O11" i="1"/>
  <c r="P11" i="1" s="1"/>
  <c r="K18" i="1"/>
  <c r="L18" i="1" s="1"/>
  <c r="AG67" i="1"/>
  <c r="U78" i="1"/>
  <c r="V78" i="1" s="1"/>
  <c r="AG30" i="1"/>
  <c r="AH30" i="1" s="1"/>
  <c r="AD7" i="1"/>
  <c r="AE7" i="1" s="1"/>
  <c r="AA7" i="1"/>
  <c r="AB7" i="1" s="1"/>
  <c r="AJ72" i="1"/>
  <c r="AK72" i="1" s="1"/>
  <c r="U72" i="1"/>
  <c r="V72" i="1" s="1"/>
  <c r="AG72" i="1"/>
  <c r="AH72" i="1" s="1"/>
  <c r="O72" i="1"/>
  <c r="P72" i="1" s="1"/>
  <c r="L55" i="1"/>
  <c r="U55" i="1" s="1"/>
  <c r="V55" i="1" s="1"/>
  <c r="AJ55" i="1"/>
  <c r="AK55" i="1" s="1"/>
  <c r="AG55" i="1"/>
  <c r="AH55" i="1" s="1"/>
  <c r="K104" i="1"/>
  <c r="L81" i="1"/>
  <c r="AG81" i="1" s="1"/>
  <c r="AH81" i="1" s="1"/>
  <c r="AM134" i="1"/>
  <c r="AN134" i="1" s="1"/>
  <c r="AP134" i="1"/>
  <c r="AQ134" i="1" s="1"/>
  <c r="AD134" i="1"/>
  <c r="AE134" i="1" s="1"/>
  <c r="AA134" i="1"/>
  <c r="X134" i="1"/>
  <c r="Y134" i="1" s="1"/>
  <c r="R134" i="1"/>
  <c r="S134" i="1" s="1"/>
  <c r="L136" i="1"/>
  <c r="O136" i="1" s="1"/>
  <c r="P136" i="1" s="1"/>
  <c r="L33" i="1"/>
  <c r="AJ33" i="1" s="1"/>
  <c r="AK33" i="1" s="1"/>
  <c r="AJ149" i="1"/>
  <c r="AK149" i="1" s="1"/>
  <c r="U149" i="1"/>
  <c r="V149" i="1" s="1"/>
  <c r="AG149" i="1"/>
  <c r="AH149" i="1" s="1"/>
  <c r="O149" i="1"/>
  <c r="P149" i="1" s="1"/>
  <c r="L120" i="1"/>
  <c r="AJ120" i="1" s="1"/>
  <c r="AK120" i="1" s="1"/>
  <c r="AG120" i="1"/>
  <c r="O97" i="1"/>
  <c r="P97" i="1" s="1"/>
  <c r="L5" i="1"/>
  <c r="AJ5" i="1" s="1"/>
  <c r="AK5" i="1" s="1"/>
  <c r="AG5" i="1"/>
  <c r="AH5" i="1" s="1"/>
  <c r="AG130" i="1"/>
  <c r="L110" i="1"/>
  <c r="U110" i="1" s="1"/>
  <c r="V110" i="1" s="1"/>
  <c r="AG57" i="1"/>
  <c r="AH57" i="1" s="1"/>
  <c r="AJ57" i="1"/>
  <c r="AK57" i="1" s="1"/>
  <c r="U57" i="1"/>
  <c r="V57" i="1" s="1"/>
  <c r="O57" i="1"/>
  <c r="P57" i="1" s="1"/>
  <c r="AP90" i="1"/>
  <c r="AQ90" i="1" s="1"/>
  <c r="AM90" i="1"/>
  <c r="AN90" i="1" s="1"/>
  <c r="X90" i="1"/>
  <c r="Y90" i="1" s="1"/>
  <c r="AA90" i="1"/>
  <c r="AB90" i="1" s="1"/>
  <c r="AD90" i="1"/>
  <c r="AE90" i="1" s="1"/>
  <c r="R90" i="1"/>
  <c r="S90" i="1" s="1"/>
  <c r="O44" i="1"/>
  <c r="P44" i="1" s="1"/>
  <c r="O78" i="1"/>
  <c r="P78" i="1" s="1"/>
  <c r="K148" i="1"/>
  <c r="L148" i="1" s="1"/>
  <c r="AM11" i="1"/>
  <c r="AN11" i="1" s="1"/>
  <c r="AA11" i="1"/>
  <c r="AB11" i="1" s="1"/>
  <c r="AD11" i="1"/>
  <c r="AE11" i="1" s="1"/>
  <c r="AP11" i="1"/>
  <c r="AQ11" i="1" s="1"/>
  <c r="X11" i="1"/>
  <c r="Y11" i="1" s="1"/>
  <c r="R11" i="1"/>
  <c r="S11" i="1" s="1"/>
  <c r="L48" i="1"/>
  <c r="AG48" i="1" s="1"/>
  <c r="AH48" i="1" s="1"/>
  <c r="J94" i="1"/>
  <c r="K94" i="1" s="1"/>
  <c r="L13" i="1"/>
  <c r="AJ13" i="1" s="1"/>
  <c r="AK13" i="1" s="1"/>
  <c r="AG13" i="1"/>
  <c r="AH13" i="1" s="1"/>
  <c r="AP67" i="1"/>
  <c r="AQ67" i="1" s="1"/>
  <c r="AM67" i="1"/>
  <c r="AN67" i="1" s="1"/>
  <c r="AA67" i="1"/>
  <c r="AB67" i="1" s="1"/>
  <c r="AD67" i="1"/>
  <c r="AE67" i="1" s="1"/>
  <c r="X67" i="1"/>
  <c r="Y67" i="1" s="1"/>
  <c r="R67" i="1"/>
  <c r="S67" i="1" s="1"/>
  <c r="K93" i="1"/>
  <c r="AP72" i="1"/>
  <c r="AQ72" i="1" s="1"/>
  <c r="AD72" i="1"/>
  <c r="AE72" i="1" s="1"/>
  <c r="AA72" i="1"/>
  <c r="AB72" i="1" s="1"/>
  <c r="X72" i="1"/>
  <c r="Y72" i="1" s="1"/>
  <c r="AM72" i="1"/>
  <c r="AN72" i="1" s="1"/>
  <c r="R72" i="1"/>
  <c r="S72" i="1" s="1"/>
  <c r="AP50" i="1"/>
  <c r="AQ50" i="1" s="1"/>
  <c r="L80" i="1"/>
  <c r="U80" i="1" s="1"/>
  <c r="V80" i="1" s="1"/>
  <c r="AP59" i="1"/>
  <c r="AQ59" i="1" s="1"/>
  <c r="AM59" i="1"/>
  <c r="AN59" i="1" s="1"/>
  <c r="AA59" i="1"/>
  <c r="AB59" i="1" s="1"/>
  <c r="AD59" i="1"/>
  <c r="AE59" i="1" s="1"/>
  <c r="X59" i="1"/>
  <c r="Y59" i="1" s="1"/>
  <c r="R59" i="1"/>
  <c r="S59" i="1" s="1"/>
  <c r="AP82" i="1"/>
  <c r="AM82" i="1"/>
  <c r="AD82" i="1"/>
  <c r="AE82" i="1" s="1"/>
  <c r="AA82" i="1"/>
  <c r="AB82" i="1" s="1"/>
  <c r="X82" i="1"/>
  <c r="Y82" i="1" s="1"/>
  <c r="R82" i="1"/>
  <c r="S82" i="1" s="1"/>
  <c r="AP149" i="1"/>
  <c r="AM149" i="1"/>
  <c r="AN149" i="1" s="1"/>
  <c r="AD149" i="1"/>
  <c r="AA149" i="1"/>
  <c r="X149" i="1"/>
  <c r="Y149" i="1" s="1"/>
  <c r="R149" i="1"/>
  <c r="L47" i="1"/>
  <c r="U47" i="1" s="1"/>
  <c r="V47" i="1" s="1"/>
  <c r="L56" i="1"/>
  <c r="AJ56" i="1" s="1"/>
  <c r="AK56" i="1" s="1"/>
  <c r="L107" i="1"/>
  <c r="AG107" i="1" s="1"/>
  <c r="U97" i="1"/>
  <c r="V97" i="1" s="1"/>
  <c r="U130" i="1"/>
  <c r="V130" i="1" s="1"/>
  <c r="AP22" i="1"/>
  <c r="AQ22" i="1" s="1"/>
  <c r="AA22" i="1"/>
  <c r="AB22" i="1" s="1"/>
  <c r="AM22" i="1"/>
  <c r="AN22" i="1" s="1"/>
  <c r="AD22" i="1"/>
  <c r="AE22" i="1" s="1"/>
  <c r="X22" i="1"/>
  <c r="Y22" i="1" s="1"/>
  <c r="R22" i="1"/>
  <c r="S22" i="1" s="1"/>
  <c r="U44" i="1"/>
  <c r="V44" i="1" s="1"/>
  <c r="U22" i="1"/>
  <c r="V22" i="1" s="1"/>
  <c r="O9" i="1"/>
  <c r="P9" i="1" s="1"/>
  <c r="AG78" i="1"/>
  <c r="L114" i="1"/>
  <c r="AJ114" i="1" s="1"/>
  <c r="AK114" i="1" s="1"/>
  <c r="AP34" i="1"/>
  <c r="AQ34" i="1" s="1"/>
  <c r="AM34" i="1"/>
  <c r="AN34" i="1" s="1"/>
  <c r="AD34" i="1"/>
  <c r="AE34" i="1" s="1"/>
  <c r="AA34" i="1"/>
  <c r="X34" i="1"/>
  <c r="Y34" i="1" s="1"/>
  <c r="R34" i="1"/>
  <c r="S34" i="1" s="1"/>
  <c r="L32" i="1"/>
  <c r="U32" i="1" s="1"/>
  <c r="V32" i="1" s="1"/>
  <c r="AJ32" i="1"/>
  <c r="AK32" i="1" s="1"/>
  <c r="L27" i="1"/>
  <c r="AJ27" i="1" s="1"/>
  <c r="AK27" i="1" s="1"/>
  <c r="AJ14" i="1"/>
  <c r="AK14" i="1" s="1"/>
  <c r="AG14" i="1"/>
  <c r="AH14" i="1" s="1"/>
  <c r="U14" i="1"/>
  <c r="V14" i="1" s="1"/>
  <c r="O14" i="1"/>
  <c r="P14" i="1" s="1"/>
  <c r="L144" i="1"/>
  <c r="AJ144" i="1" s="1"/>
  <c r="AK144" i="1" s="1"/>
  <c r="L91" i="1"/>
  <c r="AJ91" i="1" s="1"/>
  <c r="AK91" i="1" s="1"/>
  <c r="AD36" i="1"/>
  <c r="AE36" i="1" s="1"/>
  <c r="AJ82" i="1"/>
  <c r="AK82" i="1" s="1"/>
  <c r="AG82" i="1"/>
  <c r="U82" i="1"/>
  <c r="V82" i="1" s="1"/>
  <c r="O82" i="1"/>
  <c r="P82" i="1" s="1"/>
  <c r="AM23" i="1"/>
  <c r="AN23" i="1" s="1"/>
  <c r="X23" i="1"/>
  <c r="Y23" i="1" s="1"/>
  <c r="AA23" i="1"/>
  <c r="AB23" i="1" s="1"/>
  <c r="R23" i="1"/>
  <c r="S23" i="1" s="1"/>
  <c r="U7" i="1"/>
  <c r="V7" i="1" s="1"/>
  <c r="AJ88" i="1"/>
  <c r="AK88" i="1" s="1"/>
  <c r="AG88" i="1"/>
  <c r="AH88" i="1" s="1"/>
  <c r="O88" i="1"/>
  <c r="P88" i="1" s="1"/>
  <c r="U88" i="1"/>
  <c r="V88" i="1" s="1"/>
  <c r="L124" i="1"/>
  <c r="AG124" i="1" s="1"/>
  <c r="AM143" i="1"/>
  <c r="AN143" i="1" s="1"/>
  <c r="AP143" i="1"/>
  <c r="AQ143" i="1" s="1"/>
  <c r="AA143" i="1"/>
  <c r="X143" i="1"/>
  <c r="Y143" i="1" s="1"/>
  <c r="R143" i="1"/>
  <c r="AD143" i="1"/>
  <c r="AE143" i="1" s="1"/>
  <c r="K145" i="1"/>
  <c r="U90" i="1"/>
  <c r="V90" i="1" s="1"/>
  <c r="O22" i="1"/>
  <c r="P22" i="1" s="1"/>
  <c r="AG9" i="1"/>
  <c r="AH9" i="1" s="1"/>
  <c r="AM113" i="1"/>
  <c r="AN113" i="1" s="1"/>
  <c r="AP113" i="1"/>
  <c r="AQ113" i="1" s="1"/>
  <c r="AD113" i="1"/>
  <c r="AE113" i="1" s="1"/>
  <c r="AA113" i="1"/>
  <c r="AB113" i="1" s="1"/>
  <c r="X113" i="1"/>
  <c r="Y113" i="1" s="1"/>
  <c r="R113" i="1"/>
  <c r="S113" i="1" s="1"/>
  <c r="L29" i="1"/>
  <c r="AJ29" i="1" s="1"/>
  <c r="AK29" i="1" s="1"/>
  <c r="AM154" i="1"/>
  <c r="AN154" i="1" s="1"/>
  <c r="AP154" i="1"/>
  <c r="AQ154" i="1" s="1"/>
  <c r="X154" i="1"/>
  <c r="Y154" i="1" s="1"/>
  <c r="AA154" i="1"/>
  <c r="AD154" i="1"/>
  <c r="AE154" i="1" s="1"/>
  <c r="R154" i="1"/>
  <c r="S154" i="1" s="1"/>
  <c r="K39" i="1"/>
  <c r="AP57" i="1"/>
  <c r="AQ57" i="1" s="1"/>
  <c r="AD57" i="1"/>
  <c r="AE57" i="1" s="1"/>
  <c r="AM57" i="1"/>
  <c r="AN57" i="1" s="1"/>
  <c r="X57" i="1"/>
  <c r="Y57" i="1" s="1"/>
  <c r="AA57" i="1"/>
  <c r="AB57" i="1" s="1"/>
  <c r="R57" i="1"/>
  <c r="S57" i="1" s="1"/>
  <c r="L103" i="1"/>
  <c r="O103" i="1" s="1"/>
  <c r="P103" i="1" s="1"/>
  <c r="K121" i="1"/>
  <c r="AJ105" i="1"/>
  <c r="AK105" i="1" s="1"/>
  <c r="U105" i="1"/>
  <c r="V105" i="1" s="1"/>
  <c r="AG105" i="1"/>
  <c r="AH105" i="1" s="1"/>
  <c r="O105" i="1"/>
  <c r="P105" i="1" s="1"/>
  <c r="AP20" i="1"/>
  <c r="AQ20" i="1" s="1"/>
  <c r="AM20" i="1"/>
  <c r="AN20" i="1" s="1"/>
  <c r="AA20" i="1"/>
  <c r="AB20" i="1" s="1"/>
  <c r="X20" i="1"/>
  <c r="Y20" i="1" s="1"/>
  <c r="AD20" i="1"/>
  <c r="AE20" i="1" s="1"/>
  <c r="R20" i="1"/>
  <c r="S20" i="1" s="1"/>
  <c r="AP60" i="1"/>
  <c r="AQ60" i="1" s="1"/>
  <c r="AD60" i="1"/>
  <c r="AE60" i="1" s="1"/>
  <c r="X60" i="1"/>
  <c r="Y60" i="1" s="1"/>
  <c r="AA60" i="1"/>
  <c r="AB60" i="1" s="1"/>
  <c r="AM60" i="1"/>
  <c r="AN60" i="1" s="1"/>
  <c r="R60" i="1"/>
  <c r="S60" i="1" s="1"/>
  <c r="K129" i="1"/>
  <c r="L104" i="1"/>
  <c r="L73" i="1"/>
  <c r="O73" i="1" s="1"/>
  <c r="P73" i="1" s="1"/>
  <c r="AP97" i="1"/>
  <c r="AQ97" i="1" s="1"/>
  <c r="AM97" i="1"/>
  <c r="AN97" i="1" s="1"/>
  <c r="AA97" i="1"/>
  <c r="AB97" i="1" s="1"/>
  <c r="AD97" i="1"/>
  <c r="AE97" i="1" s="1"/>
  <c r="X97" i="1"/>
  <c r="Y97" i="1" s="1"/>
  <c r="R97" i="1"/>
  <c r="S97" i="1" s="1"/>
  <c r="L16" i="1"/>
  <c r="AG16" i="1" s="1"/>
  <c r="AH16" i="1" s="1"/>
  <c r="L101" i="1"/>
  <c r="AJ101" i="1" s="1"/>
  <c r="AK101" i="1" s="1"/>
  <c r="K100" i="1"/>
  <c r="L100" i="1" s="1"/>
  <c r="AJ110" i="1"/>
  <c r="AK110" i="1" s="1"/>
  <c r="O110" i="1"/>
  <c r="P110" i="1" s="1"/>
  <c r="AR96" i="1"/>
  <c r="AJ85" i="1"/>
  <c r="AG85" i="1"/>
  <c r="AH85" i="1" s="1"/>
  <c r="U85" i="1"/>
  <c r="V85" i="1" s="1"/>
  <c r="O85" i="1"/>
  <c r="P85" i="1" s="1"/>
  <c r="AG98" i="1"/>
  <c r="J151" i="1"/>
  <c r="K151" i="1" s="1"/>
  <c r="AG106" i="1"/>
  <c r="AH106" i="1" s="1"/>
  <c r="AG154" i="1"/>
  <c r="AH154" i="1" s="1"/>
  <c r="AJ60" i="1"/>
  <c r="AK60" i="1" s="1"/>
  <c r="O67" i="1"/>
  <c r="P67" i="1" s="1"/>
  <c r="AJ134" i="1"/>
  <c r="AK134" i="1" s="1"/>
  <c r="L52" i="1"/>
  <c r="AJ52" i="1" s="1"/>
  <c r="AK52" i="1" s="1"/>
  <c r="AP85" i="1"/>
  <c r="AM85" i="1"/>
  <c r="AN85" i="1" s="1"/>
  <c r="AD85" i="1"/>
  <c r="AE85" i="1" s="1"/>
  <c r="AA85" i="1"/>
  <c r="X85" i="1"/>
  <c r="Y85" i="1" s="1"/>
  <c r="R85" i="1"/>
  <c r="AP78" i="1"/>
  <c r="AQ78" i="1" s="1"/>
  <c r="AA78" i="1"/>
  <c r="AM78" i="1"/>
  <c r="AN78" i="1" s="1"/>
  <c r="AD78" i="1"/>
  <c r="AE78" i="1" s="1"/>
  <c r="X78" i="1"/>
  <c r="Y78" i="1" s="1"/>
  <c r="R78" i="1"/>
  <c r="S78" i="1" s="1"/>
  <c r="L131" i="1"/>
  <c r="AJ131" i="1" s="1"/>
  <c r="AK131" i="1" s="1"/>
  <c r="L116" i="1"/>
  <c r="AJ116" i="1" s="1"/>
  <c r="AK116" i="1" s="1"/>
  <c r="L137" i="1"/>
  <c r="L41" i="1"/>
  <c r="AJ41" i="1" s="1"/>
  <c r="AK41" i="1" s="1"/>
  <c r="L66" i="1"/>
  <c r="AJ66" i="1" s="1"/>
  <c r="AK66" i="1" s="1"/>
  <c r="AJ99" i="1"/>
  <c r="AK99" i="1" s="1"/>
  <c r="AG99" i="1"/>
  <c r="AH99" i="1" s="1"/>
  <c r="U99" i="1"/>
  <c r="V99" i="1" s="1"/>
  <c r="O99" i="1"/>
  <c r="P99" i="1" s="1"/>
  <c r="AP44" i="1"/>
  <c r="AQ44" i="1" s="1"/>
  <c r="AM44" i="1"/>
  <c r="AN44" i="1" s="1"/>
  <c r="AD44" i="1"/>
  <c r="AE44" i="1" s="1"/>
  <c r="X44" i="1"/>
  <c r="Y44" i="1" s="1"/>
  <c r="AA44" i="1"/>
  <c r="AB44" i="1" s="1"/>
  <c r="R44" i="1"/>
  <c r="S44" i="1" s="1"/>
  <c r="AP64" i="1"/>
  <c r="AQ64" i="1" s="1"/>
  <c r="AM64" i="1"/>
  <c r="AN64" i="1" s="1"/>
  <c r="AD64" i="1"/>
  <c r="AE64" i="1" s="1"/>
  <c r="AA64" i="1"/>
  <c r="AB64" i="1" s="1"/>
  <c r="X64" i="1"/>
  <c r="Y64" i="1" s="1"/>
  <c r="R64" i="1"/>
  <c r="S64" i="1" s="1"/>
  <c r="L125" i="1"/>
  <c r="O125" i="1" s="1"/>
  <c r="P125" i="1" s="1"/>
  <c r="AG125" i="1"/>
  <c r="AH125" i="1" s="1"/>
  <c r="AJ20" i="1"/>
  <c r="AK20" i="1" s="1"/>
  <c r="AG20" i="1"/>
  <c r="AH20" i="1" s="1"/>
  <c r="U20" i="1"/>
  <c r="V20" i="1" s="1"/>
  <c r="O20" i="1"/>
  <c r="P20" i="1" s="1"/>
  <c r="AP88" i="1"/>
  <c r="AQ88" i="1" s="1"/>
  <c r="AD88" i="1"/>
  <c r="AE88" i="1" s="1"/>
  <c r="AM88" i="1"/>
  <c r="AN88" i="1" s="1"/>
  <c r="X88" i="1"/>
  <c r="Y88" i="1" s="1"/>
  <c r="AA88" i="1"/>
  <c r="AB88" i="1" s="1"/>
  <c r="R88" i="1"/>
  <c r="S88" i="1" s="1"/>
  <c r="AJ138" i="1"/>
  <c r="AK138" i="1" s="1"/>
  <c r="U138" i="1"/>
  <c r="V138" i="1" s="1"/>
  <c r="AG138" i="1"/>
  <c r="O138" i="1"/>
  <c r="P138" i="1" s="1"/>
  <c r="AJ64" i="1"/>
  <c r="AK64" i="1" s="1"/>
  <c r="U64" i="1"/>
  <c r="V64" i="1" s="1"/>
  <c r="AG64" i="1"/>
  <c r="AH64" i="1" s="1"/>
  <c r="O64" i="1"/>
  <c r="P64" i="1" s="1"/>
  <c r="J70" i="1"/>
  <c r="K70" i="1" s="1"/>
  <c r="AP130" i="1"/>
  <c r="AQ130" i="1" s="1"/>
  <c r="AM130" i="1"/>
  <c r="AN130" i="1" s="1"/>
  <c r="AD130" i="1"/>
  <c r="AE130" i="1" s="1"/>
  <c r="AA130" i="1"/>
  <c r="X130" i="1"/>
  <c r="Y130" i="1" s="1"/>
  <c r="R130" i="1"/>
  <c r="AM30" i="1"/>
  <c r="AN30" i="1" s="1"/>
  <c r="AP30" i="1"/>
  <c r="AQ30" i="1" s="1"/>
  <c r="AA30" i="1"/>
  <c r="AD30" i="1"/>
  <c r="AE30" i="1" s="1"/>
  <c r="X30" i="1"/>
  <c r="Y30" i="1" s="1"/>
  <c r="R30" i="1"/>
  <c r="L40" i="1"/>
  <c r="AG40" i="1" s="1"/>
  <c r="AH40" i="1" s="1"/>
  <c r="L15" i="1"/>
  <c r="O15" i="1" s="1"/>
  <c r="P15" i="1" s="1"/>
  <c r="AJ98" i="1"/>
  <c r="AK98" i="1" s="1"/>
  <c r="AG63" i="1"/>
  <c r="AH63" i="1" s="1"/>
  <c r="AJ63" i="1"/>
  <c r="AK63" i="1" s="1"/>
  <c r="U63" i="1"/>
  <c r="V63" i="1" s="1"/>
  <c r="O63" i="1"/>
  <c r="P63" i="1" s="1"/>
  <c r="U50" i="1"/>
  <c r="V50" i="1" s="1"/>
  <c r="AJ106" i="1"/>
  <c r="AK106" i="1" s="1"/>
  <c r="AA122" i="1"/>
  <c r="R122" i="1"/>
  <c r="S122" i="1" s="1"/>
  <c r="AJ154" i="1"/>
  <c r="AK154" i="1" s="1"/>
  <c r="AG60" i="1"/>
  <c r="AH60" i="1" s="1"/>
  <c r="U67" i="1"/>
  <c r="V67" i="1" s="1"/>
  <c r="L8" i="1"/>
  <c r="AJ8" i="1" s="1"/>
  <c r="AK8" i="1" s="1"/>
  <c r="AJ30" i="1"/>
  <c r="AK30" i="1" s="1"/>
  <c r="AG134" i="1"/>
  <c r="AH134" i="1" s="1"/>
  <c r="K140" i="1"/>
  <c r="L140" i="1" s="1"/>
  <c r="L87" i="1"/>
  <c r="AJ87" i="1" s="1"/>
  <c r="AK87" i="1" s="1"/>
  <c r="K74" i="1"/>
  <c r="L74" i="1" s="1"/>
  <c r="L123" i="1"/>
  <c r="J17" i="1"/>
  <c r="K77" i="1"/>
  <c r="K152" i="1"/>
  <c r="L152" i="1" s="1"/>
  <c r="J49" i="1"/>
  <c r="K49" i="1" s="1"/>
  <c r="J42" i="1"/>
  <c r="K75" i="1"/>
  <c r="K19" i="1"/>
  <c r="K86" i="1"/>
  <c r="L86" i="1" s="1"/>
  <c r="K102" i="1"/>
  <c r="L102" i="1" s="1"/>
  <c r="J4" i="1"/>
  <c r="K4" i="1" s="1"/>
  <c r="K155" i="1"/>
  <c r="J133" i="1"/>
  <c r="K133" i="1" s="1"/>
  <c r="K89" i="1"/>
  <c r="L89" i="1" s="1"/>
  <c r="J83" i="1"/>
  <c r="K83" i="1" s="1"/>
  <c r="K112" i="1"/>
  <c r="K141" i="1"/>
  <c r="K153" i="1"/>
  <c r="L76" i="1"/>
  <c r="K128" i="1"/>
  <c r="L128" i="1" s="1"/>
  <c r="K51" i="1"/>
  <c r="J3" i="1"/>
  <c r="K3" i="1" s="1"/>
  <c r="J37" i="1"/>
  <c r="J62" i="1"/>
  <c r="L146" i="1"/>
  <c r="O146" i="1" s="1"/>
  <c r="L25" i="1"/>
  <c r="AJ25" i="1" s="1"/>
  <c r="AK25" i="1" s="1"/>
  <c r="J117" i="1"/>
  <c r="K117" i="1" s="1"/>
  <c r="K26" i="1"/>
  <c r="K21" i="1"/>
  <c r="K119" i="1"/>
  <c r="L119" i="1" s="1"/>
  <c r="K71" i="1"/>
  <c r="J69" i="1"/>
  <c r="L84" i="1"/>
  <c r="K147" i="1"/>
  <c r="J68" i="1"/>
  <c r="K68" i="1" s="1"/>
  <c r="J79" i="1"/>
  <c r="K79" i="1" s="1"/>
  <c r="K109" i="1"/>
  <c r="L135" i="1"/>
  <c r="U135" i="1" s="1"/>
  <c r="V135" i="1" s="1"/>
  <c r="K24" i="1"/>
  <c r="K126" i="1"/>
  <c r="L61" i="1"/>
  <c r="U61" i="1" s="1"/>
  <c r="V61" i="1" s="1"/>
  <c r="K43" i="1"/>
  <c r="L43" i="1"/>
  <c r="L45" i="1"/>
  <c r="AJ45" i="1" s="1"/>
  <c r="AK45" i="1" s="1"/>
  <c r="K28" i="1"/>
  <c r="L28" i="1" s="1"/>
  <c r="L46" i="1"/>
  <c r="AG46" i="1" s="1"/>
  <c r="AH46" i="1" s="1"/>
  <c r="J150" i="1"/>
  <c r="AM36" i="1" l="1"/>
  <c r="AN36" i="1" s="1"/>
  <c r="U36" i="1"/>
  <c r="V36" i="1" s="1"/>
  <c r="O7" i="1"/>
  <c r="P7" i="1" s="1"/>
  <c r="AR58" i="1"/>
  <c r="AG7" i="1"/>
  <c r="AH7" i="1" s="1"/>
  <c r="AP7" i="1"/>
  <c r="AQ7" i="1" s="1"/>
  <c r="O47" i="1"/>
  <c r="P47" i="1" s="1"/>
  <c r="AG52" i="1"/>
  <c r="AH52" i="1" s="1"/>
  <c r="AG110" i="1"/>
  <c r="AJ7" i="1"/>
  <c r="AK7" i="1" s="1"/>
  <c r="AM7" i="1"/>
  <c r="AN7" i="1" s="1"/>
  <c r="AP36" i="1"/>
  <c r="AQ36" i="1" s="1"/>
  <c r="X7" i="1"/>
  <c r="Y7" i="1" s="1"/>
  <c r="AA36" i="1"/>
  <c r="O131" i="1"/>
  <c r="P131" i="1" s="1"/>
  <c r="AG127" i="1"/>
  <c r="R36" i="1"/>
  <c r="S36" i="1" s="1"/>
  <c r="AJ16" i="1"/>
  <c r="AK16" i="1" s="1"/>
  <c r="X36" i="1"/>
  <c r="Y36" i="1" s="1"/>
  <c r="AJ6" i="1"/>
  <c r="AK6" i="1" s="1"/>
  <c r="AJ65" i="1"/>
  <c r="AK65" i="1" s="1"/>
  <c r="AG115" i="1"/>
  <c r="AH115" i="1" s="1"/>
  <c r="AJ80" i="1"/>
  <c r="AK80" i="1" s="1"/>
  <c r="AJ118" i="1"/>
  <c r="AK118" i="1" s="1"/>
  <c r="AG23" i="1"/>
  <c r="AH23" i="1" s="1"/>
  <c r="AG41" i="1"/>
  <c r="AH41" i="1" s="1"/>
  <c r="AD23" i="1"/>
  <c r="AE23" i="1" s="1"/>
  <c r="O120" i="1"/>
  <c r="P120" i="1" s="1"/>
  <c r="AG136" i="1"/>
  <c r="AG118" i="1"/>
  <c r="AH118" i="1" s="1"/>
  <c r="AJ111" i="1"/>
  <c r="AK111" i="1" s="1"/>
  <c r="U115" i="1"/>
  <c r="V115" i="1" s="1"/>
  <c r="AR106" i="1"/>
  <c r="V106" i="1"/>
  <c r="O36" i="1"/>
  <c r="P36" i="1" s="1"/>
  <c r="S30" i="1"/>
  <c r="AR30" i="1" s="1"/>
  <c r="AG87" i="1"/>
  <c r="AH87" i="1" s="1"/>
  <c r="O29" i="1"/>
  <c r="P29" i="1" s="1"/>
  <c r="AP23" i="1"/>
  <c r="AQ23" i="1" s="1"/>
  <c r="AR23" i="1" s="1"/>
  <c r="R50" i="1"/>
  <c r="S50" i="1" s="1"/>
  <c r="AG108" i="1"/>
  <c r="AH108" i="1" s="1"/>
  <c r="AJ10" i="1"/>
  <c r="AK10" i="1" s="1"/>
  <c r="S98" i="1"/>
  <c r="AR98" i="1" s="1"/>
  <c r="X50" i="1"/>
  <c r="Y50" i="1" s="1"/>
  <c r="O55" i="1"/>
  <c r="P55" i="1" s="1"/>
  <c r="AG54" i="1"/>
  <c r="AH54" i="1" s="1"/>
  <c r="AG8" i="1"/>
  <c r="AH8" i="1" s="1"/>
  <c r="AG32" i="1"/>
  <c r="AH32" i="1" s="1"/>
  <c r="AM50" i="1"/>
  <c r="AN50" i="1" s="1"/>
  <c r="O35" i="1"/>
  <c r="P35" i="1" s="1"/>
  <c r="L94" i="1"/>
  <c r="AD94" i="1" s="1"/>
  <c r="AE94" i="1" s="1"/>
  <c r="AG36" i="1"/>
  <c r="AH36" i="1" s="1"/>
  <c r="AG38" i="1"/>
  <c r="AH38" i="1" s="1"/>
  <c r="O122" i="1"/>
  <c r="P122" i="1" s="1"/>
  <c r="U122" i="1"/>
  <c r="V122" i="1" s="1"/>
  <c r="X122" i="1"/>
  <c r="Y122" i="1" s="1"/>
  <c r="AR60" i="1"/>
  <c r="O114" i="1"/>
  <c r="P114" i="1" s="1"/>
  <c r="AG27" i="1"/>
  <c r="AH27" i="1" s="1"/>
  <c r="AJ107" i="1"/>
  <c r="AJ46" i="1"/>
  <c r="AK46" i="1" s="1"/>
  <c r="U91" i="1"/>
  <c r="V91" i="1" s="1"/>
  <c r="AG122" i="1"/>
  <c r="AD122" i="1"/>
  <c r="AE122" i="1" s="1"/>
  <c r="U41" i="1"/>
  <c r="V41" i="1" s="1"/>
  <c r="AR154" i="1"/>
  <c r="O66" i="1"/>
  <c r="P66" i="1" s="1"/>
  <c r="AR90" i="1"/>
  <c r="U120" i="1"/>
  <c r="V120" i="1" s="1"/>
  <c r="U54" i="1"/>
  <c r="V54" i="1" s="1"/>
  <c r="O12" i="1"/>
  <c r="P12" i="1" s="1"/>
  <c r="AA127" i="1"/>
  <c r="AM127" i="1"/>
  <c r="R127" i="1"/>
  <c r="X127" i="1"/>
  <c r="Y127" i="1" s="1"/>
  <c r="AJ127" i="1"/>
  <c r="AP127" i="1"/>
  <c r="AD127" i="1"/>
  <c r="AE127" i="1" s="1"/>
  <c r="O127" i="1"/>
  <c r="P127" i="1" s="1"/>
  <c r="AG50" i="1"/>
  <c r="AH50" i="1" s="1"/>
  <c r="AR113" i="1"/>
  <c r="AG131" i="1"/>
  <c r="AH131" i="1" s="1"/>
  <c r="AR134" i="1"/>
  <c r="AR143" i="1"/>
  <c r="O40" i="1"/>
  <c r="P40" i="1" s="1"/>
  <c r="U66" i="1"/>
  <c r="V66" i="1" s="1"/>
  <c r="O52" i="1"/>
  <c r="P52" i="1" s="1"/>
  <c r="U124" i="1"/>
  <c r="V124" i="1" s="1"/>
  <c r="O135" i="1"/>
  <c r="P135" i="1" s="1"/>
  <c r="AA50" i="1"/>
  <c r="AB50" i="1" s="1"/>
  <c r="U118" i="1"/>
  <c r="V118" i="1" s="1"/>
  <c r="U108" i="1"/>
  <c r="V108" i="1" s="1"/>
  <c r="O132" i="1"/>
  <c r="P132" i="1" s="1"/>
  <c r="AJ12" i="1"/>
  <c r="AK12" i="1" s="1"/>
  <c r="L95" i="1"/>
  <c r="AJ95" i="1" s="1"/>
  <c r="U107" i="1"/>
  <c r="V107" i="1" s="1"/>
  <c r="AM122" i="1"/>
  <c r="AN122" i="1" s="1"/>
  <c r="AG135" i="1"/>
  <c r="AH135" i="1" s="1"/>
  <c r="AR34" i="1"/>
  <c r="O108" i="1"/>
  <c r="P108" i="1" s="1"/>
  <c r="U12" i="1"/>
  <c r="V12" i="1" s="1"/>
  <c r="AJ122" i="1"/>
  <c r="AK122" i="1" s="1"/>
  <c r="U52" i="1"/>
  <c r="V52" i="1" s="1"/>
  <c r="O50" i="1"/>
  <c r="P50" i="1" s="1"/>
  <c r="AJ124" i="1"/>
  <c r="AK124" i="1" s="1"/>
  <c r="AD50" i="1"/>
  <c r="O61" i="1"/>
  <c r="P61" i="1" s="1"/>
  <c r="L70" i="1"/>
  <c r="AJ70" i="1" s="1"/>
  <c r="AK70" i="1" s="1"/>
  <c r="L151" i="1"/>
  <c r="O151" i="1" s="1"/>
  <c r="AM74" i="1"/>
  <c r="AN74" i="1" s="1"/>
  <c r="AP74" i="1"/>
  <c r="AQ74" i="1" s="1"/>
  <c r="AD74" i="1"/>
  <c r="AE74" i="1" s="1"/>
  <c r="AA74" i="1"/>
  <c r="AB74" i="1" s="1"/>
  <c r="X74" i="1"/>
  <c r="Y74" i="1" s="1"/>
  <c r="R74" i="1"/>
  <c r="S74" i="1" s="1"/>
  <c r="AM148" i="1"/>
  <c r="AN148" i="1" s="1"/>
  <c r="AP148" i="1"/>
  <c r="AQ148" i="1" s="1"/>
  <c r="AD148" i="1"/>
  <c r="AE148" i="1" s="1"/>
  <c r="AA148" i="1"/>
  <c r="X148" i="1"/>
  <c r="Y148" i="1" s="1"/>
  <c r="R148" i="1"/>
  <c r="S148" i="1" s="1"/>
  <c r="AM119" i="1"/>
  <c r="AP119" i="1"/>
  <c r="AQ119" i="1" s="1"/>
  <c r="AA119" i="1"/>
  <c r="AD119" i="1"/>
  <c r="AE119" i="1" s="1"/>
  <c r="X119" i="1"/>
  <c r="Y119" i="1" s="1"/>
  <c r="R119" i="1"/>
  <c r="S119" i="1" s="1"/>
  <c r="AD18" i="1"/>
  <c r="AE18" i="1" s="1"/>
  <c r="AM18" i="1"/>
  <c r="AN18" i="1" s="1"/>
  <c r="AA18" i="1"/>
  <c r="AB18" i="1" s="1"/>
  <c r="X18" i="1"/>
  <c r="Y18" i="1" s="1"/>
  <c r="AP18" i="1"/>
  <c r="AQ18" i="1" s="1"/>
  <c r="R18" i="1"/>
  <c r="S18" i="1" s="1"/>
  <c r="L117" i="1"/>
  <c r="O117" i="1" s="1"/>
  <c r="P117" i="1" s="1"/>
  <c r="AM84" i="1"/>
  <c r="AP84" i="1"/>
  <c r="AD84" i="1"/>
  <c r="AE84" i="1" s="1"/>
  <c r="AA84" i="1"/>
  <c r="AB84" i="1" s="1"/>
  <c r="X84" i="1"/>
  <c r="Y84" i="1" s="1"/>
  <c r="R84" i="1"/>
  <c r="S84" i="1" s="1"/>
  <c r="AM76" i="1"/>
  <c r="AN76" i="1" s="1"/>
  <c r="AP76" i="1"/>
  <c r="AQ76" i="1" s="1"/>
  <c r="AD76" i="1"/>
  <c r="AE76" i="1" s="1"/>
  <c r="X76" i="1"/>
  <c r="Y76" i="1" s="1"/>
  <c r="AA76" i="1"/>
  <c r="R76" i="1"/>
  <c r="S76" i="1" s="1"/>
  <c r="AM123" i="1"/>
  <c r="AN123" i="1" s="1"/>
  <c r="AP123" i="1"/>
  <c r="AQ123" i="1" s="1"/>
  <c r="X123" i="1"/>
  <c r="Y123" i="1" s="1"/>
  <c r="AD123" i="1"/>
  <c r="AE123" i="1" s="1"/>
  <c r="AA123" i="1"/>
  <c r="R123" i="1"/>
  <c r="S123" i="1" s="1"/>
  <c r="AP137" i="1"/>
  <c r="AQ137" i="1" s="1"/>
  <c r="AD137" i="1"/>
  <c r="AE137" i="1" s="1"/>
  <c r="AA137" i="1"/>
  <c r="AM137" i="1"/>
  <c r="AN137" i="1" s="1"/>
  <c r="X137" i="1"/>
  <c r="Y137" i="1" s="1"/>
  <c r="R137" i="1"/>
  <c r="S137" i="1" s="1"/>
  <c r="L21" i="1"/>
  <c r="U21" i="1" s="1"/>
  <c r="V21" i="1" s="1"/>
  <c r="AJ21" i="1"/>
  <c r="AK21" i="1" s="1"/>
  <c r="AM152" i="1"/>
  <c r="AN152" i="1" s="1"/>
  <c r="AP152" i="1"/>
  <c r="AQ152" i="1" s="1"/>
  <c r="AD152" i="1"/>
  <c r="AE152" i="1" s="1"/>
  <c r="AA152" i="1"/>
  <c r="X152" i="1"/>
  <c r="Y152" i="1" s="1"/>
  <c r="R152" i="1"/>
  <c r="S152" i="1" s="1"/>
  <c r="AG152" i="1"/>
  <c r="AJ152" i="1"/>
  <c r="AK152" i="1" s="1"/>
  <c r="U152" i="1"/>
  <c r="V152" i="1" s="1"/>
  <c r="O152" i="1"/>
  <c r="P152" i="1" s="1"/>
  <c r="U76" i="1"/>
  <c r="V76" i="1" s="1"/>
  <c r="AP73" i="1"/>
  <c r="AQ73" i="1" s="1"/>
  <c r="AM73" i="1"/>
  <c r="AN73" i="1" s="1"/>
  <c r="AD73" i="1"/>
  <c r="AE73" i="1" s="1"/>
  <c r="AA73" i="1"/>
  <c r="X73" i="1"/>
  <c r="Y73" i="1" s="1"/>
  <c r="R73" i="1"/>
  <c r="S73" i="1" s="1"/>
  <c r="AR88" i="1"/>
  <c r="AM56" i="1"/>
  <c r="AN56" i="1" s="1"/>
  <c r="AP56" i="1"/>
  <c r="AQ56" i="1" s="1"/>
  <c r="AD56" i="1"/>
  <c r="AE56" i="1" s="1"/>
  <c r="AA56" i="1"/>
  <c r="AB56" i="1" s="1"/>
  <c r="X56" i="1"/>
  <c r="Y56" i="1" s="1"/>
  <c r="R56" i="1"/>
  <c r="S56" i="1" s="1"/>
  <c r="AP92" i="1"/>
  <c r="AQ92" i="1" s="1"/>
  <c r="AM92" i="1"/>
  <c r="AN92" i="1" s="1"/>
  <c r="AD92" i="1"/>
  <c r="AE92" i="1" s="1"/>
  <c r="X92" i="1"/>
  <c r="Y92" i="1" s="1"/>
  <c r="AA92" i="1"/>
  <c r="R92" i="1"/>
  <c r="S92" i="1" s="1"/>
  <c r="O53" i="1"/>
  <c r="P53" i="1" s="1"/>
  <c r="O101" i="1"/>
  <c r="P101" i="1" s="1"/>
  <c r="AP43" i="1"/>
  <c r="AQ43" i="1" s="1"/>
  <c r="AD43" i="1"/>
  <c r="AE43" i="1" s="1"/>
  <c r="AM43" i="1"/>
  <c r="AN43" i="1" s="1"/>
  <c r="AA43" i="1"/>
  <c r="AB43" i="1" s="1"/>
  <c r="X43" i="1"/>
  <c r="Y43" i="1" s="1"/>
  <c r="R43" i="1"/>
  <c r="S43" i="1" s="1"/>
  <c r="L79" i="1"/>
  <c r="O79" i="1" s="1"/>
  <c r="P79" i="1" s="1"/>
  <c r="L4" i="1"/>
  <c r="U4" i="1" s="1"/>
  <c r="V4" i="1" s="1"/>
  <c r="AP102" i="1"/>
  <c r="AQ102" i="1" s="1"/>
  <c r="AM102" i="1"/>
  <c r="AN102" i="1" s="1"/>
  <c r="AD102" i="1"/>
  <c r="AE102" i="1" s="1"/>
  <c r="AA102" i="1"/>
  <c r="AB102" i="1" s="1"/>
  <c r="X102" i="1"/>
  <c r="Y102" i="1" s="1"/>
  <c r="R102" i="1"/>
  <c r="S102" i="1" s="1"/>
  <c r="AM140" i="1"/>
  <c r="AA140" i="1"/>
  <c r="AD140" i="1"/>
  <c r="AE140" i="1" s="1"/>
  <c r="X140" i="1"/>
  <c r="Y140" i="1" s="1"/>
  <c r="AP140" i="1"/>
  <c r="AQ140" i="1" s="1"/>
  <c r="R140" i="1"/>
  <c r="S140" i="1" s="1"/>
  <c r="AG76" i="1"/>
  <c r="AR20" i="1"/>
  <c r="AP125" i="1"/>
  <c r="AQ125" i="1" s="1"/>
  <c r="AM125" i="1"/>
  <c r="AN125" i="1" s="1"/>
  <c r="X125" i="1"/>
  <c r="Y125" i="1" s="1"/>
  <c r="AA125" i="1"/>
  <c r="AD125" i="1"/>
  <c r="AE125" i="1" s="1"/>
  <c r="R125" i="1"/>
  <c r="S125" i="1" s="1"/>
  <c r="U137" i="1"/>
  <c r="U16" i="1"/>
  <c r="V16" i="1" s="1"/>
  <c r="O56" i="1"/>
  <c r="P56" i="1" s="1"/>
  <c r="AP29" i="1"/>
  <c r="AQ29" i="1" s="1"/>
  <c r="AM29" i="1"/>
  <c r="AN29" i="1" s="1"/>
  <c r="AD29" i="1"/>
  <c r="AE29" i="1" s="1"/>
  <c r="AA29" i="1"/>
  <c r="AB29" i="1" s="1"/>
  <c r="X29" i="1"/>
  <c r="Y29" i="1" s="1"/>
  <c r="R29" i="1"/>
  <c r="S29" i="1" s="1"/>
  <c r="AM27" i="1"/>
  <c r="AN27" i="1" s="1"/>
  <c r="AD27" i="1"/>
  <c r="AE27" i="1" s="1"/>
  <c r="AP27" i="1"/>
  <c r="AQ27" i="1" s="1"/>
  <c r="AA27" i="1"/>
  <c r="AB27" i="1" s="1"/>
  <c r="X27" i="1"/>
  <c r="Y27" i="1" s="1"/>
  <c r="R27" i="1"/>
  <c r="S27" i="1" s="1"/>
  <c r="AM80" i="1"/>
  <c r="AN80" i="1" s="1"/>
  <c r="AD80" i="1"/>
  <c r="AE80" i="1" s="1"/>
  <c r="AA80" i="1"/>
  <c r="AP80" i="1"/>
  <c r="X80" i="1"/>
  <c r="Y80" i="1" s="1"/>
  <c r="R80" i="1"/>
  <c r="S80" i="1" s="1"/>
  <c r="O13" i="1"/>
  <c r="P13" i="1" s="1"/>
  <c r="U46" i="1"/>
  <c r="V46" i="1" s="1"/>
  <c r="AP6" i="1"/>
  <c r="AQ6" i="1" s="1"/>
  <c r="AM6" i="1"/>
  <c r="AN6" i="1" s="1"/>
  <c r="AD6" i="1"/>
  <c r="AE6" i="1" s="1"/>
  <c r="AA6" i="1"/>
  <c r="AB6" i="1" s="1"/>
  <c r="X6" i="1"/>
  <c r="Y6" i="1" s="1"/>
  <c r="R6" i="1"/>
  <c r="S6" i="1" s="1"/>
  <c r="U65" i="1"/>
  <c r="V65" i="1" s="1"/>
  <c r="AJ146" i="1"/>
  <c r="U139" i="1"/>
  <c r="V139" i="1" s="1"/>
  <c r="AG111" i="1"/>
  <c r="AH111" i="1" s="1"/>
  <c r="AJ53" i="1"/>
  <c r="AK53" i="1" s="1"/>
  <c r="U40" i="1"/>
  <c r="V40" i="1" s="1"/>
  <c r="U10" i="1"/>
  <c r="V10" i="1" s="1"/>
  <c r="AG101" i="1"/>
  <c r="AG61" i="1"/>
  <c r="AH61" i="1" s="1"/>
  <c r="AP38" i="1"/>
  <c r="AQ38" i="1" s="1"/>
  <c r="AM38" i="1"/>
  <c r="AN38" i="1" s="1"/>
  <c r="AA38" i="1"/>
  <c r="AB38" i="1" s="1"/>
  <c r="AD38" i="1"/>
  <c r="AE38" i="1" s="1"/>
  <c r="X38" i="1"/>
  <c r="Y38" i="1" s="1"/>
  <c r="R38" i="1"/>
  <c r="S38" i="1" s="1"/>
  <c r="AJ43" i="1"/>
  <c r="AK43" i="1" s="1"/>
  <c r="AG43" i="1"/>
  <c r="AH43" i="1" s="1"/>
  <c r="U43" i="1"/>
  <c r="V43" i="1" s="1"/>
  <c r="O43" i="1"/>
  <c r="P43" i="1" s="1"/>
  <c r="L147" i="1"/>
  <c r="AG147" i="1" s="1"/>
  <c r="O147" i="1"/>
  <c r="L26" i="1"/>
  <c r="U26" i="1" s="1"/>
  <c r="V26" i="1" s="1"/>
  <c r="AG128" i="1"/>
  <c r="AH128" i="1" s="1"/>
  <c r="AJ128" i="1"/>
  <c r="AK128" i="1" s="1"/>
  <c r="U128" i="1"/>
  <c r="V128" i="1" s="1"/>
  <c r="O128" i="1"/>
  <c r="P128" i="1" s="1"/>
  <c r="AJ89" i="1"/>
  <c r="AK89" i="1" s="1"/>
  <c r="AG89" i="1"/>
  <c r="AH89" i="1" s="1"/>
  <c r="U89" i="1"/>
  <c r="V89" i="1" s="1"/>
  <c r="O89" i="1"/>
  <c r="P89" i="1" s="1"/>
  <c r="AJ102" i="1"/>
  <c r="AK102" i="1" s="1"/>
  <c r="AG102" i="1"/>
  <c r="U102" i="1"/>
  <c r="V102" i="1" s="1"/>
  <c r="O102" i="1"/>
  <c r="P102" i="1" s="1"/>
  <c r="AG140" i="1"/>
  <c r="AH140" i="1" s="1"/>
  <c r="AJ140" i="1"/>
  <c r="AK140" i="1" s="1"/>
  <c r="U140" i="1"/>
  <c r="V140" i="1" s="1"/>
  <c r="O140" i="1"/>
  <c r="P140" i="1" s="1"/>
  <c r="O8" i="1"/>
  <c r="P8" i="1" s="1"/>
  <c r="AJ76" i="1"/>
  <c r="AK76" i="1" s="1"/>
  <c r="AP66" i="1"/>
  <c r="AQ66" i="1" s="1"/>
  <c r="AD66" i="1"/>
  <c r="AE66" i="1" s="1"/>
  <c r="AM66" i="1"/>
  <c r="AN66" i="1" s="1"/>
  <c r="AA66" i="1"/>
  <c r="AB66" i="1" s="1"/>
  <c r="X66" i="1"/>
  <c r="Y66" i="1" s="1"/>
  <c r="R66" i="1"/>
  <c r="S66" i="1" s="1"/>
  <c r="AJ137" i="1"/>
  <c r="AK137" i="1" s="1"/>
  <c r="O16" i="1"/>
  <c r="P16" i="1" s="1"/>
  <c r="L129" i="1"/>
  <c r="O129" i="1" s="1"/>
  <c r="P129" i="1" s="1"/>
  <c r="U56" i="1"/>
  <c r="V56" i="1" s="1"/>
  <c r="O124" i="1"/>
  <c r="P124" i="1" s="1"/>
  <c r="O32" i="1"/>
  <c r="P32" i="1" s="1"/>
  <c r="O27" i="1"/>
  <c r="P27" i="1" s="1"/>
  <c r="L93" i="1"/>
  <c r="AG93" i="1" s="1"/>
  <c r="AH93" i="1" s="1"/>
  <c r="AJ93" i="1"/>
  <c r="AK93" i="1" s="1"/>
  <c r="U13" i="1"/>
  <c r="V13" i="1" s="1"/>
  <c r="AG66" i="1"/>
  <c r="AH66" i="1" s="1"/>
  <c r="U5" i="1"/>
  <c r="V5" i="1" s="1"/>
  <c r="AG33" i="1"/>
  <c r="AH33" i="1" s="1"/>
  <c r="O84" i="1"/>
  <c r="P84" i="1" s="1"/>
  <c r="O25" i="1"/>
  <c r="P25" i="1" s="1"/>
  <c r="AM55" i="1"/>
  <c r="AN55" i="1" s="1"/>
  <c r="AA55" i="1"/>
  <c r="AB55" i="1" s="1"/>
  <c r="AP55" i="1"/>
  <c r="AQ55" i="1" s="1"/>
  <c r="AD55" i="1"/>
  <c r="AE55" i="1" s="1"/>
  <c r="X55" i="1"/>
  <c r="Y55" i="1" s="1"/>
  <c r="R55" i="1"/>
  <c r="S55" i="1" s="1"/>
  <c r="AR59" i="1"/>
  <c r="O46" i="1"/>
  <c r="P46" i="1" s="1"/>
  <c r="O65" i="1"/>
  <c r="P65" i="1" s="1"/>
  <c r="AJ139" i="1"/>
  <c r="AK139" i="1" s="1"/>
  <c r="AD118" i="1"/>
  <c r="AP118" i="1"/>
  <c r="AQ118" i="1" s="1"/>
  <c r="AA118" i="1"/>
  <c r="AM118" i="1"/>
  <c r="AN118" i="1" s="1"/>
  <c r="X118" i="1"/>
  <c r="Y118" i="1" s="1"/>
  <c r="R118" i="1"/>
  <c r="O111" i="1"/>
  <c r="P111" i="1" s="1"/>
  <c r="AP108" i="1"/>
  <c r="AQ108" i="1" s="1"/>
  <c r="AD108" i="1"/>
  <c r="AE108" i="1" s="1"/>
  <c r="AM108" i="1"/>
  <c r="AN108" i="1" s="1"/>
  <c r="X108" i="1"/>
  <c r="Y108" i="1" s="1"/>
  <c r="AA108" i="1"/>
  <c r="R108" i="1"/>
  <c r="S108" i="1" s="1"/>
  <c r="U53" i="1"/>
  <c r="V53" i="1" s="1"/>
  <c r="O87" i="1"/>
  <c r="P87" i="1" s="1"/>
  <c r="O10" i="1"/>
  <c r="P10" i="1" s="1"/>
  <c r="O38" i="1"/>
  <c r="P38" i="1" s="1"/>
  <c r="AP12" i="1"/>
  <c r="AQ12" i="1" s="1"/>
  <c r="AA12" i="1"/>
  <c r="AB12" i="1" s="1"/>
  <c r="AD12" i="1"/>
  <c r="AE12" i="1" s="1"/>
  <c r="AM12" i="1"/>
  <c r="AN12" i="1" s="1"/>
  <c r="X12" i="1"/>
  <c r="Y12" i="1" s="1"/>
  <c r="R12" i="1"/>
  <c r="S12" i="1" s="1"/>
  <c r="L126" i="1"/>
  <c r="AJ126" i="1" s="1"/>
  <c r="AK126" i="1" s="1"/>
  <c r="AP144" i="1"/>
  <c r="AQ144" i="1" s="1"/>
  <c r="AM144" i="1"/>
  <c r="AN144" i="1" s="1"/>
  <c r="X144" i="1"/>
  <c r="Y144" i="1" s="1"/>
  <c r="AD144" i="1"/>
  <c r="AE144" i="1" s="1"/>
  <c r="AA144" i="1"/>
  <c r="R144" i="1"/>
  <c r="S144" i="1" s="1"/>
  <c r="AR44" i="1"/>
  <c r="AP45" i="1"/>
  <c r="AQ45" i="1" s="1"/>
  <c r="AM45" i="1"/>
  <c r="AN45" i="1" s="1"/>
  <c r="AD45" i="1"/>
  <c r="AE45" i="1" s="1"/>
  <c r="X45" i="1"/>
  <c r="Y45" i="1" s="1"/>
  <c r="AA45" i="1"/>
  <c r="AB45" i="1" s="1"/>
  <c r="R45" i="1"/>
  <c r="S45" i="1" s="1"/>
  <c r="AP28" i="1"/>
  <c r="AQ28" i="1" s="1"/>
  <c r="AD28" i="1"/>
  <c r="AE28" i="1" s="1"/>
  <c r="AM28" i="1"/>
  <c r="AN28" i="1" s="1"/>
  <c r="AA28" i="1"/>
  <c r="AB28" i="1" s="1"/>
  <c r="X28" i="1"/>
  <c r="Y28" i="1" s="1"/>
  <c r="R28" i="1"/>
  <c r="S28" i="1" s="1"/>
  <c r="AP15" i="1"/>
  <c r="AQ15" i="1" s="1"/>
  <c r="AM15" i="1"/>
  <c r="AN15" i="1" s="1"/>
  <c r="AA15" i="1"/>
  <c r="AB15" i="1" s="1"/>
  <c r="AD15" i="1"/>
  <c r="AE15" i="1" s="1"/>
  <c r="X15" i="1"/>
  <c r="Y15" i="1" s="1"/>
  <c r="R15" i="1"/>
  <c r="S15" i="1" s="1"/>
  <c r="O137" i="1"/>
  <c r="P137" i="1" s="1"/>
  <c r="AP101" i="1"/>
  <c r="AQ101" i="1" s="1"/>
  <c r="AM101" i="1"/>
  <c r="AN101" i="1" s="1"/>
  <c r="AD101" i="1"/>
  <c r="AE101" i="1" s="1"/>
  <c r="X101" i="1"/>
  <c r="Y101" i="1" s="1"/>
  <c r="AA101" i="1"/>
  <c r="AB101" i="1" s="1"/>
  <c r="R101" i="1"/>
  <c r="S101" i="1" s="1"/>
  <c r="AP103" i="1"/>
  <c r="AM103" i="1"/>
  <c r="AN103" i="1" s="1"/>
  <c r="X103" i="1"/>
  <c r="Y103" i="1" s="1"/>
  <c r="AD103" i="1"/>
  <c r="AE103" i="1" s="1"/>
  <c r="AA103" i="1"/>
  <c r="AB103" i="1" s="1"/>
  <c r="R103" i="1"/>
  <c r="S103" i="1" s="1"/>
  <c r="AR7" i="1"/>
  <c r="AM100" i="1"/>
  <c r="AN100" i="1" s="1"/>
  <c r="AD100" i="1"/>
  <c r="AE100" i="1" s="1"/>
  <c r="AP100" i="1"/>
  <c r="AQ100" i="1" s="1"/>
  <c r="AA100" i="1"/>
  <c r="AB100" i="1" s="1"/>
  <c r="X100" i="1"/>
  <c r="Y100" i="1" s="1"/>
  <c r="R100" i="1"/>
  <c r="S100" i="1" s="1"/>
  <c r="AG144" i="1"/>
  <c r="O33" i="1"/>
  <c r="P33" i="1" s="1"/>
  <c r="AM81" i="1"/>
  <c r="AN81" i="1" s="1"/>
  <c r="AP81" i="1"/>
  <c r="X81" i="1"/>
  <c r="Y81" i="1" s="1"/>
  <c r="AD81" i="1"/>
  <c r="AE81" i="1" s="1"/>
  <c r="AA81" i="1"/>
  <c r="R81" i="1"/>
  <c r="AR130" i="1"/>
  <c r="AG146" i="1"/>
  <c r="O139" i="1"/>
  <c r="P139" i="1" s="1"/>
  <c r="AJ48" i="1"/>
  <c r="AK48" i="1" s="1"/>
  <c r="AM94" i="1"/>
  <c r="AN94" i="1" s="1"/>
  <c r="AP94" i="1"/>
  <c r="AQ94" i="1" s="1"/>
  <c r="U8" i="1"/>
  <c r="V8" i="1" s="1"/>
  <c r="AP40" i="1"/>
  <c r="AQ40" i="1" s="1"/>
  <c r="AM40" i="1"/>
  <c r="AN40" i="1" s="1"/>
  <c r="AA40" i="1"/>
  <c r="AB40" i="1" s="1"/>
  <c r="X40" i="1"/>
  <c r="Y40" i="1" s="1"/>
  <c r="AD40" i="1"/>
  <c r="AE40" i="1" s="1"/>
  <c r="R40" i="1"/>
  <c r="S40" i="1" s="1"/>
  <c r="AP104" i="1"/>
  <c r="AM104" i="1"/>
  <c r="AN104" i="1" s="1"/>
  <c r="AD104" i="1"/>
  <c r="AE104" i="1" s="1"/>
  <c r="AA104" i="1"/>
  <c r="X104" i="1"/>
  <c r="Y104" i="1" s="1"/>
  <c r="R104" i="1"/>
  <c r="S104" i="1" s="1"/>
  <c r="AR105" i="1"/>
  <c r="AR22" i="1"/>
  <c r="AR82" i="1"/>
  <c r="AM114" i="1"/>
  <c r="AN114" i="1" s="1"/>
  <c r="AP114" i="1"/>
  <c r="AQ114" i="1" s="1"/>
  <c r="AD114" i="1"/>
  <c r="AE114" i="1" s="1"/>
  <c r="AA114" i="1"/>
  <c r="X114" i="1"/>
  <c r="Y114" i="1" s="1"/>
  <c r="R114" i="1"/>
  <c r="S114" i="1" s="1"/>
  <c r="AM47" i="1"/>
  <c r="AN47" i="1" s="1"/>
  <c r="AD47" i="1"/>
  <c r="AE47" i="1" s="1"/>
  <c r="AA47" i="1"/>
  <c r="AB47" i="1" s="1"/>
  <c r="X47" i="1"/>
  <c r="Y47" i="1" s="1"/>
  <c r="AP47" i="1"/>
  <c r="AQ47" i="1" s="1"/>
  <c r="R47" i="1"/>
  <c r="S47" i="1" s="1"/>
  <c r="O5" i="1"/>
  <c r="P5" i="1" s="1"/>
  <c r="U33" i="1"/>
  <c r="V33" i="1" s="1"/>
  <c r="AM136" i="1"/>
  <c r="AN136" i="1" s="1"/>
  <c r="AP136" i="1"/>
  <c r="AQ136" i="1" s="1"/>
  <c r="X136" i="1"/>
  <c r="Y136" i="1" s="1"/>
  <c r="AA136" i="1"/>
  <c r="AD136" i="1"/>
  <c r="AE136" i="1" s="1"/>
  <c r="R136" i="1"/>
  <c r="S136" i="1" s="1"/>
  <c r="AJ104" i="1"/>
  <c r="AK104" i="1" s="1"/>
  <c r="AG104" i="1"/>
  <c r="AH104" i="1" s="1"/>
  <c r="U104" i="1"/>
  <c r="V104" i="1" s="1"/>
  <c r="O104" i="1"/>
  <c r="P104" i="1" s="1"/>
  <c r="AM132" i="1"/>
  <c r="AN132" i="1" s="1"/>
  <c r="AP132" i="1"/>
  <c r="AQ132" i="1" s="1"/>
  <c r="AD132" i="1"/>
  <c r="AE132" i="1" s="1"/>
  <c r="AA132" i="1"/>
  <c r="X132" i="1"/>
  <c r="Y132" i="1" s="1"/>
  <c r="R132" i="1"/>
  <c r="AM61" i="1"/>
  <c r="AN61" i="1" s="1"/>
  <c r="AP61" i="1"/>
  <c r="AQ61" i="1" s="1"/>
  <c r="AA61" i="1"/>
  <c r="AB61" i="1" s="1"/>
  <c r="AD61" i="1"/>
  <c r="AE61" i="1" s="1"/>
  <c r="X61" i="1"/>
  <c r="Y61" i="1" s="1"/>
  <c r="R61" i="1"/>
  <c r="S61" i="1" s="1"/>
  <c r="L51" i="1"/>
  <c r="U51" i="1" s="1"/>
  <c r="V51" i="1" s="1"/>
  <c r="L133" i="1"/>
  <c r="AJ133" i="1" s="1"/>
  <c r="AK133" i="1" s="1"/>
  <c r="AJ86" i="1"/>
  <c r="AK86" i="1" s="1"/>
  <c r="AG86" i="1"/>
  <c r="AH86" i="1" s="1"/>
  <c r="U86" i="1"/>
  <c r="V86" i="1" s="1"/>
  <c r="O86" i="1"/>
  <c r="P86" i="1" s="1"/>
  <c r="AM89" i="1"/>
  <c r="AN89" i="1" s="1"/>
  <c r="AP89" i="1"/>
  <c r="AQ89" i="1" s="1"/>
  <c r="AA89" i="1"/>
  <c r="AB89" i="1" s="1"/>
  <c r="AD89" i="1"/>
  <c r="AE89" i="1" s="1"/>
  <c r="X89" i="1"/>
  <c r="Y89" i="1" s="1"/>
  <c r="R89" i="1"/>
  <c r="S89" i="1" s="1"/>
  <c r="AR138" i="1"/>
  <c r="O41" i="1"/>
  <c r="P41" i="1" s="1"/>
  <c r="AG137" i="1"/>
  <c r="O123" i="1"/>
  <c r="P123" i="1" s="1"/>
  <c r="AP52" i="1"/>
  <c r="AQ52" i="1" s="1"/>
  <c r="AM52" i="1"/>
  <c r="AN52" i="1" s="1"/>
  <c r="AA52" i="1"/>
  <c r="AB52" i="1" s="1"/>
  <c r="AD52" i="1"/>
  <c r="AE52" i="1" s="1"/>
  <c r="X52" i="1"/>
  <c r="Y52" i="1" s="1"/>
  <c r="R52" i="1"/>
  <c r="S52" i="1" s="1"/>
  <c r="AG56" i="1"/>
  <c r="AH56" i="1" s="1"/>
  <c r="L145" i="1"/>
  <c r="AJ145" i="1" s="1"/>
  <c r="AK145" i="1" s="1"/>
  <c r="AM91" i="1"/>
  <c r="AN91" i="1" s="1"/>
  <c r="AP91" i="1"/>
  <c r="AQ91" i="1" s="1"/>
  <c r="AA91" i="1"/>
  <c r="AB91" i="1" s="1"/>
  <c r="AD91" i="1"/>
  <c r="AE91" i="1" s="1"/>
  <c r="X91" i="1"/>
  <c r="Y91" i="1" s="1"/>
  <c r="R91" i="1"/>
  <c r="S91" i="1" s="1"/>
  <c r="AR9" i="1"/>
  <c r="U27" i="1"/>
  <c r="V27" i="1" s="1"/>
  <c r="O107" i="1"/>
  <c r="P107" i="1" s="1"/>
  <c r="AG94" i="1"/>
  <c r="AH94" i="1" s="1"/>
  <c r="AJ94" i="1"/>
  <c r="AK94" i="1" s="1"/>
  <c r="L121" i="1"/>
  <c r="U121" i="1" s="1"/>
  <c r="V121" i="1" s="1"/>
  <c r="AR78" i="1"/>
  <c r="AR57" i="1"/>
  <c r="AM120" i="1"/>
  <c r="AN120" i="1" s="1"/>
  <c r="AA120" i="1"/>
  <c r="AD120" i="1"/>
  <c r="AE120" i="1" s="1"/>
  <c r="X120" i="1"/>
  <c r="Y120" i="1" s="1"/>
  <c r="AP120" i="1"/>
  <c r="AQ120" i="1" s="1"/>
  <c r="R120" i="1"/>
  <c r="S120" i="1" s="1"/>
  <c r="U84" i="1"/>
  <c r="V84" i="1" s="1"/>
  <c r="AR72" i="1"/>
  <c r="O91" i="1"/>
  <c r="P91" i="1" s="1"/>
  <c r="U35" i="1"/>
  <c r="V35" i="1" s="1"/>
  <c r="AJ40" i="1"/>
  <c r="AK40" i="1" s="1"/>
  <c r="O54" i="1"/>
  <c r="P54" i="1" s="1"/>
  <c r="AJ61" i="1"/>
  <c r="AK61" i="1" s="1"/>
  <c r="U38" i="1"/>
  <c r="V38" i="1" s="1"/>
  <c r="O115" i="1"/>
  <c r="P115" i="1" s="1"/>
  <c r="AM25" i="1"/>
  <c r="AN25" i="1" s="1"/>
  <c r="AP25" i="1"/>
  <c r="AQ25" i="1" s="1"/>
  <c r="AD25" i="1"/>
  <c r="AE25" i="1" s="1"/>
  <c r="AA25" i="1"/>
  <c r="AB25" i="1" s="1"/>
  <c r="X25" i="1"/>
  <c r="Y25" i="1" s="1"/>
  <c r="R25" i="1"/>
  <c r="S25" i="1" s="1"/>
  <c r="L19" i="1"/>
  <c r="AJ19" i="1" s="1"/>
  <c r="AK19" i="1" s="1"/>
  <c r="AJ74" i="1"/>
  <c r="AG74" i="1"/>
  <c r="AH74" i="1" s="1"/>
  <c r="U74" i="1"/>
  <c r="V74" i="1" s="1"/>
  <c r="O74" i="1"/>
  <c r="P74" i="1" s="1"/>
  <c r="U123" i="1"/>
  <c r="V123" i="1" s="1"/>
  <c r="AD33" i="1"/>
  <c r="AE33" i="1" s="1"/>
  <c r="AM33" i="1"/>
  <c r="AN33" i="1" s="1"/>
  <c r="AP33" i="1"/>
  <c r="AQ33" i="1" s="1"/>
  <c r="X33" i="1"/>
  <c r="Y33" i="1" s="1"/>
  <c r="AA33" i="1"/>
  <c r="R33" i="1"/>
  <c r="S33" i="1" s="1"/>
  <c r="AG84" i="1"/>
  <c r="AM139" i="1"/>
  <c r="AP139" i="1"/>
  <c r="AQ139" i="1" s="1"/>
  <c r="AD139" i="1"/>
  <c r="X139" i="1"/>
  <c r="Y139" i="1" s="1"/>
  <c r="AA139" i="1"/>
  <c r="R139" i="1"/>
  <c r="S139" i="1" s="1"/>
  <c r="AM31" i="1"/>
  <c r="AN31" i="1" s="1"/>
  <c r="X31" i="1"/>
  <c r="Y31" i="1" s="1"/>
  <c r="AP31" i="1"/>
  <c r="AQ31" i="1" s="1"/>
  <c r="AD31" i="1"/>
  <c r="AE31" i="1" s="1"/>
  <c r="AA31" i="1"/>
  <c r="R31" i="1"/>
  <c r="S31" i="1" s="1"/>
  <c r="L24" i="1"/>
  <c r="AG24" i="1" s="1"/>
  <c r="AH24" i="1" s="1"/>
  <c r="AJ24" i="1"/>
  <c r="AK24" i="1" s="1"/>
  <c r="U24" i="1"/>
  <c r="V24" i="1" s="1"/>
  <c r="L75" i="1"/>
  <c r="AJ75" i="1" s="1"/>
  <c r="AK75" i="1" s="1"/>
  <c r="L153" i="1"/>
  <c r="U153" i="1" s="1"/>
  <c r="AP87" i="1"/>
  <c r="AQ87" i="1" s="1"/>
  <c r="AM87" i="1"/>
  <c r="AA87" i="1"/>
  <c r="AB87" i="1" s="1"/>
  <c r="AD87" i="1"/>
  <c r="AE87" i="1" s="1"/>
  <c r="X87" i="1"/>
  <c r="Y87" i="1" s="1"/>
  <c r="R87" i="1"/>
  <c r="S87" i="1" s="1"/>
  <c r="AM8" i="1"/>
  <c r="AN8" i="1" s="1"/>
  <c r="AP8" i="1"/>
  <c r="AQ8" i="1" s="1"/>
  <c r="AD8" i="1"/>
  <c r="AE8" i="1" s="1"/>
  <c r="X8" i="1"/>
  <c r="Y8" i="1" s="1"/>
  <c r="AA8" i="1"/>
  <c r="AB8" i="1" s="1"/>
  <c r="R8" i="1"/>
  <c r="S8" i="1" s="1"/>
  <c r="AM116" i="1"/>
  <c r="AN116" i="1" s="1"/>
  <c r="AP116" i="1"/>
  <c r="AQ116" i="1" s="1"/>
  <c r="AD116" i="1"/>
  <c r="X116" i="1"/>
  <c r="Y116" i="1" s="1"/>
  <c r="AA116" i="1"/>
  <c r="R116" i="1"/>
  <c r="AR67" i="1"/>
  <c r="AR14" i="1"/>
  <c r="AG148" i="1"/>
  <c r="AJ148" i="1"/>
  <c r="AK148" i="1" s="1"/>
  <c r="U148" i="1"/>
  <c r="V148" i="1" s="1"/>
  <c r="O148" i="1"/>
  <c r="P148" i="1" s="1"/>
  <c r="AJ84" i="1"/>
  <c r="AK84" i="1" s="1"/>
  <c r="O81" i="1"/>
  <c r="P81" i="1" s="1"/>
  <c r="AG25" i="1"/>
  <c r="AH25" i="1" s="1"/>
  <c r="AJ18" i="1"/>
  <c r="AK18" i="1" s="1"/>
  <c r="AG18" i="1"/>
  <c r="AH18" i="1" s="1"/>
  <c r="U18" i="1"/>
  <c r="V18" i="1" s="1"/>
  <c r="O18" i="1"/>
  <c r="P18" i="1" s="1"/>
  <c r="AG92" i="1"/>
  <c r="AH92" i="1" s="1"/>
  <c r="AP65" i="1"/>
  <c r="AQ65" i="1" s="1"/>
  <c r="AM65" i="1"/>
  <c r="AN65" i="1" s="1"/>
  <c r="AD65" i="1"/>
  <c r="AE65" i="1" s="1"/>
  <c r="X65" i="1"/>
  <c r="Y65" i="1" s="1"/>
  <c r="AA65" i="1"/>
  <c r="AB65" i="1" s="1"/>
  <c r="R65" i="1"/>
  <c r="S65" i="1" s="1"/>
  <c r="O48" i="1"/>
  <c r="P48" i="1" s="1"/>
  <c r="AM111" i="1"/>
  <c r="AN111" i="1" s="1"/>
  <c r="AP111" i="1"/>
  <c r="AQ111" i="1" s="1"/>
  <c r="AD111" i="1"/>
  <c r="AE111" i="1" s="1"/>
  <c r="X111" i="1"/>
  <c r="Y111" i="1" s="1"/>
  <c r="R111" i="1"/>
  <c r="S111" i="1" s="1"/>
  <c r="AA111" i="1"/>
  <c r="U87" i="1"/>
  <c r="V87" i="1" s="1"/>
  <c r="O116" i="1"/>
  <c r="P116" i="1" s="1"/>
  <c r="AP10" i="1"/>
  <c r="AQ10" i="1" s="1"/>
  <c r="AM10" i="1"/>
  <c r="AN10" i="1" s="1"/>
  <c r="X10" i="1"/>
  <c r="Y10" i="1" s="1"/>
  <c r="AD10" i="1"/>
  <c r="AE10" i="1" s="1"/>
  <c r="AA10" i="1"/>
  <c r="AB10" i="1" s="1"/>
  <c r="R10" i="1"/>
  <c r="S10" i="1" s="1"/>
  <c r="O31" i="1"/>
  <c r="P31" i="1" s="1"/>
  <c r="AJ28" i="1"/>
  <c r="AK28" i="1" s="1"/>
  <c r="AG28" i="1"/>
  <c r="AH28" i="1" s="1"/>
  <c r="U28" i="1"/>
  <c r="V28" i="1" s="1"/>
  <c r="O28" i="1"/>
  <c r="P28" i="1" s="1"/>
  <c r="AM135" i="1"/>
  <c r="AN135" i="1" s="1"/>
  <c r="AP135" i="1"/>
  <c r="AD135" i="1"/>
  <c r="AE135" i="1" s="1"/>
  <c r="AA135" i="1"/>
  <c r="X135" i="1"/>
  <c r="Y135" i="1" s="1"/>
  <c r="R135" i="1"/>
  <c r="L71" i="1"/>
  <c r="U71" i="1" s="1"/>
  <c r="V71" i="1" s="1"/>
  <c r="L141" i="1"/>
  <c r="AG141" i="1" s="1"/>
  <c r="AH141" i="1" s="1"/>
  <c r="AP86" i="1"/>
  <c r="AM86" i="1"/>
  <c r="AN86" i="1" s="1"/>
  <c r="AA86" i="1"/>
  <c r="AD86" i="1"/>
  <c r="AE86" i="1" s="1"/>
  <c r="X86" i="1"/>
  <c r="Y86" i="1" s="1"/>
  <c r="R86" i="1"/>
  <c r="S86" i="1" s="1"/>
  <c r="U15" i="1"/>
  <c r="V15" i="1" s="1"/>
  <c r="U125" i="1"/>
  <c r="V125" i="1" s="1"/>
  <c r="AP131" i="1"/>
  <c r="AQ131" i="1" s="1"/>
  <c r="AM131" i="1"/>
  <c r="AN131" i="1" s="1"/>
  <c r="AD131" i="1"/>
  <c r="AE131" i="1" s="1"/>
  <c r="AA131" i="1"/>
  <c r="AB131" i="1" s="1"/>
  <c r="X131" i="1"/>
  <c r="Y131" i="1" s="1"/>
  <c r="R131" i="1"/>
  <c r="S131" i="1" s="1"/>
  <c r="AG123" i="1"/>
  <c r="AG73" i="1"/>
  <c r="AH73" i="1" s="1"/>
  <c r="U103" i="1"/>
  <c r="V103" i="1" s="1"/>
  <c r="U29" i="1"/>
  <c r="V29" i="1" s="1"/>
  <c r="AM124" i="1"/>
  <c r="AN124" i="1" s="1"/>
  <c r="AP124" i="1"/>
  <c r="AQ124" i="1" s="1"/>
  <c r="AD124" i="1"/>
  <c r="AE124" i="1" s="1"/>
  <c r="X124" i="1"/>
  <c r="Y124" i="1" s="1"/>
  <c r="AA124" i="1"/>
  <c r="R124" i="1"/>
  <c r="S124" i="1" s="1"/>
  <c r="AJ135" i="1"/>
  <c r="AK135" i="1" s="1"/>
  <c r="AP32" i="1"/>
  <c r="AQ32" i="1" s="1"/>
  <c r="AM32" i="1"/>
  <c r="AN32" i="1" s="1"/>
  <c r="AD32" i="1"/>
  <c r="AE32" i="1" s="1"/>
  <c r="X32" i="1"/>
  <c r="Y32" i="1" s="1"/>
  <c r="AA32" i="1"/>
  <c r="R32" i="1"/>
  <c r="S32" i="1" s="1"/>
  <c r="AG114" i="1"/>
  <c r="AH114" i="1" s="1"/>
  <c r="O80" i="1"/>
  <c r="P80" i="1" s="1"/>
  <c r="O144" i="1"/>
  <c r="P144" i="1" s="1"/>
  <c r="L39" i="1"/>
  <c r="AJ39" i="1" s="1"/>
  <c r="AK39" i="1" s="1"/>
  <c r="AR97" i="1"/>
  <c r="AR149" i="1"/>
  <c r="U136" i="1"/>
  <c r="V136" i="1" s="1"/>
  <c r="U81" i="1"/>
  <c r="V81" i="1" s="1"/>
  <c r="U45" i="1"/>
  <c r="V45" i="1" s="1"/>
  <c r="AR11" i="1"/>
  <c r="U92" i="1"/>
  <c r="V92" i="1" s="1"/>
  <c r="U6" i="1"/>
  <c r="V6" i="1" s="1"/>
  <c r="AR6" i="1" s="1"/>
  <c r="AG91" i="1"/>
  <c r="AH91" i="1" s="1"/>
  <c r="U132" i="1"/>
  <c r="V132" i="1" s="1"/>
  <c r="AJ47" i="1"/>
  <c r="AK47" i="1" s="1"/>
  <c r="U116" i="1"/>
  <c r="V116" i="1" s="1"/>
  <c r="U31" i="1"/>
  <c r="V31" i="1" s="1"/>
  <c r="AM128" i="1"/>
  <c r="AN128" i="1" s="1"/>
  <c r="AP128" i="1"/>
  <c r="AQ128" i="1" s="1"/>
  <c r="AD128" i="1"/>
  <c r="AE128" i="1" s="1"/>
  <c r="AA128" i="1"/>
  <c r="AB128" i="1" s="1"/>
  <c r="X128" i="1"/>
  <c r="Y128" i="1" s="1"/>
  <c r="R128" i="1"/>
  <c r="S128" i="1" s="1"/>
  <c r="AP48" i="1"/>
  <c r="AQ48" i="1" s="1"/>
  <c r="AD48" i="1"/>
  <c r="AE48" i="1" s="1"/>
  <c r="AM48" i="1"/>
  <c r="AN48" i="1" s="1"/>
  <c r="X48" i="1"/>
  <c r="Y48" i="1" s="1"/>
  <c r="AA48" i="1"/>
  <c r="AB48" i="1" s="1"/>
  <c r="R48" i="1"/>
  <c r="S48" i="1" s="1"/>
  <c r="U25" i="1"/>
  <c r="V25" i="1" s="1"/>
  <c r="AM53" i="1"/>
  <c r="AN53" i="1" s="1"/>
  <c r="AP53" i="1"/>
  <c r="AQ53" i="1" s="1"/>
  <c r="AA53" i="1"/>
  <c r="AB53" i="1" s="1"/>
  <c r="AD53" i="1"/>
  <c r="AE53" i="1" s="1"/>
  <c r="X53" i="1"/>
  <c r="Y53" i="1" s="1"/>
  <c r="R53" i="1"/>
  <c r="S53" i="1" s="1"/>
  <c r="AM46" i="1"/>
  <c r="AN46" i="1" s="1"/>
  <c r="AP46" i="1"/>
  <c r="AQ46" i="1" s="1"/>
  <c r="AD46" i="1"/>
  <c r="AE46" i="1" s="1"/>
  <c r="AA46" i="1"/>
  <c r="AB46" i="1" s="1"/>
  <c r="X46" i="1"/>
  <c r="Y46" i="1" s="1"/>
  <c r="R46" i="1"/>
  <c r="S46" i="1" s="1"/>
  <c r="AP146" i="1"/>
  <c r="AM146" i="1"/>
  <c r="AD146" i="1"/>
  <c r="X146" i="1"/>
  <c r="AA146" i="1"/>
  <c r="R146" i="1"/>
  <c r="AR63" i="1"/>
  <c r="AG15" i="1"/>
  <c r="AH15" i="1" s="1"/>
  <c r="AJ123" i="1"/>
  <c r="AK123" i="1" s="1"/>
  <c r="AR85" i="1"/>
  <c r="AM16" i="1"/>
  <c r="AN16" i="1" s="1"/>
  <c r="AP16" i="1"/>
  <c r="AQ16" i="1" s="1"/>
  <c r="AD16" i="1"/>
  <c r="AE16" i="1" s="1"/>
  <c r="AA16" i="1"/>
  <c r="AB16" i="1" s="1"/>
  <c r="X16" i="1"/>
  <c r="Y16" i="1" s="1"/>
  <c r="R16" i="1"/>
  <c r="S16" i="1" s="1"/>
  <c r="U73" i="1"/>
  <c r="AG103" i="1"/>
  <c r="AH103" i="1" s="1"/>
  <c r="AP13" i="1"/>
  <c r="AQ13" i="1" s="1"/>
  <c r="AD13" i="1"/>
  <c r="AE13" i="1" s="1"/>
  <c r="AA13" i="1"/>
  <c r="AB13" i="1" s="1"/>
  <c r="AM13" i="1"/>
  <c r="AN13" i="1" s="1"/>
  <c r="X13" i="1"/>
  <c r="Y13" i="1" s="1"/>
  <c r="R13" i="1"/>
  <c r="S13" i="1" s="1"/>
  <c r="AP5" i="1"/>
  <c r="AQ5" i="1" s="1"/>
  <c r="AM5" i="1"/>
  <c r="AN5" i="1" s="1"/>
  <c r="X5" i="1"/>
  <c r="Y5" i="1" s="1"/>
  <c r="AA5" i="1"/>
  <c r="AB5" i="1" s="1"/>
  <c r="AD5" i="1"/>
  <c r="AE5" i="1" s="1"/>
  <c r="R5" i="1"/>
  <c r="S5" i="1" s="1"/>
  <c r="O45" i="1"/>
  <c r="P45" i="1" s="1"/>
  <c r="AJ119" i="1"/>
  <c r="AK119" i="1" s="1"/>
  <c r="AG119" i="1"/>
  <c r="AH119" i="1" s="1"/>
  <c r="U119" i="1"/>
  <c r="V119" i="1" s="1"/>
  <c r="O119" i="1"/>
  <c r="P119" i="1" s="1"/>
  <c r="L112" i="1"/>
  <c r="AG112" i="1" s="1"/>
  <c r="L155" i="1"/>
  <c r="AG155" i="1" s="1"/>
  <c r="AH155" i="1" s="1"/>
  <c r="L49" i="1"/>
  <c r="AG49" i="1" s="1"/>
  <c r="AH49" i="1" s="1"/>
  <c r="L109" i="1"/>
  <c r="AJ109" i="1" s="1"/>
  <c r="AK109" i="1" s="1"/>
  <c r="L77" i="1"/>
  <c r="U77" i="1" s="1"/>
  <c r="V77" i="1" s="1"/>
  <c r="AJ15" i="1"/>
  <c r="AK15" i="1" s="1"/>
  <c r="AR64" i="1"/>
  <c r="O76" i="1"/>
  <c r="P76" i="1" s="1"/>
  <c r="AJ125" i="1"/>
  <c r="AP41" i="1"/>
  <c r="AQ41" i="1" s="1"/>
  <c r="AM41" i="1"/>
  <c r="AN41" i="1" s="1"/>
  <c r="AD41" i="1"/>
  <c r="AE41" i="1" s="1"/>
  <c r="AA41" i="1"/>
  <c r="AB41" i="1" s="1"/>
  <c r="X41" i="1"/>
  <c r="Y41" i="1" s="1"/>
  <c r="R41" i="1"/>
  <c r="S41" i="1" s="1"/>
  <c r="AG100" i="1"/>
  <c r="AH100" i="1" s="1"/>
  <c r="AJ100" i="1"/>
  <c r="AK100" i="1" s="1"/>
  <c r="U100" i="1"/>
  <c r="V100" i="1" s="1"/>
  <c r="O100" i="1"/>
  <c r="P100" i="1" s="1"/>
  <c r="AJ73" i="1"/>
  <c r="AK73" i="1" s="1"/>
  <c r="AJ103" i="1"/>
  <c r="AK103" i="1" s="1"/>
  <c r="AG29" i="1"/>
  <c r="AH29" i="1" s="1"/>
  <c r="U114" i="1"/>
  <c r="V114" i="1" s="1"/>
  <c r="AM107" i="1"/>
  <c r="AN107" i="1" s="1"/>
  <c r="AD107" i="1"/>
  <c r="AE107" i="1" s="1"/>
  <c r="X107" i="1"/>
  <c r="Y107" i="1" s="1"/>
  <c r="AP107" i="1"/>
  <c r="AQ107" i="1" s="1"/>
  <c r="AA107" i="1"/>
  <c r="AB107" i="1" s="1"/>
  <c r="R107" i="1"/>
  <c r="S107" i="1" s="1"/>
  <c r="AG80" i="1"/>
  <c r="AH80" i="1" s="1"/>
  <c r="U144" i="1"/>
  <c r="V144" i="1" s="1"/>
  <c r="U131" i="1"/>
  <c r="V131" i="1" s="1"/>
  <c r="AM110" i="1"/>
  <c r="AN110" i="1" s="1"/>
  <c r="AP110" i="1"/>
  <c r="AQ110" i="1" s="1"/>
  <c r="AA110" i="1"/>
  <c r="AD110" i="1"/>
  <c r="AE110" i="1" s="1"/>
  <c r="X110" i="1"/>
  <c r="Y110" i="1" s="1"/>
  <c r="R110" i="1"/>
  <c r="S110" i="1" s="1"/>
  <c r="AJ136" i="1"/>
  <c r="AK136" i="1" s="1"/>
  <c r="AJ81" i="1"/>
  <c r="AG45" i="1"/>
  <c r="AH45" i="1" s="1"/>
  <c r="AJ92" i="1"/>
  <c r="AK92" i="1" s="1"/>
  <c r="AG6" i="1"/>
  <c r="AH6" i="1" s="1"/>
  <c r="U146" i="1"/>
  <c r="U48" i="1"/>
  <c r="V48" i="1" s="1"/>
  <c r="AM35" i="1"/>
  <c r="AN35" i="1" s="1"/>
  <c r="AP35" i="1"/>
  <c r="AQ35" i="1" s="1"/>
  <c r="AD35" i="1"/>
  <c r="AE35" i="1" s="1"/>
  <c r="AA35" i="1"/>
  <c r="X35" i="1"/>
  <c r="Y35" i="1" s="1"/>
  <c r="R35" i="1"/>
  <c r="S35" i="1" s="1"/>
  <c r="AG132" i="1"/>
  <c r="AR99" i="1"/>
  <c r="AG47" i="1"/>
  <c r="AH47" i="1" s="1"/>
  <c r="AG116" i="1"/>
  <c r="AH116" i="1" s="1"/>
  <c r="U101" i="1"/>
  <c r="V101" i="1" s="1"/>
  <c r="AP54" i="1"/>
  <c r="AQ54" i="1" s="1"/>
  <c r="AM54" i="1"/>
  <c r="AN54" i="1" s="1"/>
  <c r="AD54" i="1"/>
  <c r="AE54" i="1" s="1"/>
  <c r="AA54" i="1"/>
  <c r="AB54" i="1" s="1"/>
  <c r="X54" i="1"/>
  <c r="Y54" i="1" s="1"/>
  <c r="R54" i="1"/>
  <c r="S54" i="1" s="1"/>
  <c r="AG31" i="1"/>
  <c r="AH31" i="1" s="1"/>
  <c r="AM115" i="1"/>
  <c r="AN115" i="1" s="1"/>
  <c r="AP115" i="1"/>
  <c r="AQ115" i="1" s="1"/>
  <c r="AD115" i="1"/>
  <c r="AA115" i="1"/>
  <c r="X115" i="1"/>
  <c r="Y115" i="1" s="1"/>
  <c r="R115" i="1"/>
  <c r="L3" i="1"/>
  <c r="O3" i="1" s="1"/>
  <c r="P3" i="1" s="1"/>
  <c r="K17" i="1"/>
  <c r="K62" i="1"/>
  <c r="L68" i="1"/>
  <c r="AG68" i="1" s="1"/>
  <c r="AH68" i="1" s="1"/>
  <c r="L83" i="1"/>
  <c r="U83" i="1" s="1"/>
  <c r="V83" i="1" s="1"/>
  <c r="K42" i="1"/>
  <c r="K37" i="1"/>
  <c r="K69" i="1"/>
  <c r="K150" i="1"/>
  <c r="AG70" i="1" l="1"/>
  <c r="AH70" i="1" s="1"/>
  <c r="AG3" i="1"/>
  <c r="AH3" i="1" s="1"/>
  <c r="U147" i="1"/>
  <c r="AR36" i="1"/>
  <c r="AG77" i="1"/>
  <c r="AH77" i="1" s="1"/>
  <c r="O70" i="1"/>
  <c r="P70" i="1" s="1"/>
  <c r="U70" i="1"/>
  <c r="V70" i="1" s="1"/>
  <c r="AG133" i="1"/>
  <c r="AH133" i="1" s="1"/>
  <c r="AJ151" i="1"/>
  <c r="O112" i="1"/>
  <c r="P112" i="1" s="1"/>
  <c r="AK125" i="1"/>
  <c r="AR125" i="1" s="1"/>
  <c r="U112" i="1"/>
  <c r="V112" i="1" s="1"/>
  <c r="O83" i="1"/>
  <c r="P83" i="1" s="1"/>
  <c r="AG117" i="1"/>
  <c r="AH117" i="1" s="1"/>
  <c r="U95" i="1"/>
  <c r="V95" i="1" s="1"/>
  <c r="AJ112" i="1"/>
  <c r="AK112" i="1" s="1"/>
  <c r="AJ26" i="1"/>
  <c r="AK26" i="1" s="1"/>
  <c r="AG151" i="1"/>
  <c r="AG95" i="1"/>
  <c r="AH95" i="1" s="1"/>
  <c r="AJ117" i="1"/>
  <c r="AG71" i="1"/>
  <c r="AH71" i="1" s="1"/>
  <c r="U19" i="1"/>
  <c r="V19" i="1" s="1"/>
  <c r="R94" i="1"/>
  <c r="S94" i="1" s="1"/>
  <c r="AG21" i="1"/>
  <c r="AH21" i="1" s="1"/>
  <c r="U151" i="1"/>
  <c r="V73" i="1"/>
  <c r="AR73" i="1" s="1"/>
  <c r="X94" i="1"/>
  <c r="Y94" i="1" s="1"/>
  <c r="Y146" i="1"/>
  <c r="AR146" i="1" s="1"/>
  <c r="O94" i="1"/>
  <c r="P94" i="1" s="1"/>
  <c r="AA94" i="1"/>
  <c r="AB94" i="1" s="1"/>
  <c r="U155" i="1"/>
  <c r="V155" i="1" s="1"/>
  <c r="O126" i="1"/>
  <c r="P126" i="1" s="1"/>
  <c r="AJ129" i="1"/>
  <c r="AK129" i="1" s="1"/>
  <c r="AJ121" i="1"/>
  <c r="AK121" i="1" s="1"/>
  <c r="AE50" i="1"/>
  <c r="AR50" i="1" s="1"/>
  <c r="U75" i="1"/>
  <c r="V75" i="1" s="1"/>
  <c r="U94" i="1"/>
  <c r="V94" i="1" s="1"/>
  <c r="U3" i="1"/>
  <c r="V3" i="1" s="1"/>
  <c r="AG129" i="1"/>
  <c r="AH129" i="1" s="1"/>
  <c r="U79" i="1"/>
  <c r="V79" i="1" s="1"/>
  <c r="AR110" i="1"/>
  <c r="AR135" i="1"/>
  <c r="AR52" i="1"/>
  <c r="AR40" i="1"/>
  <c r="O68" i="1"/>
  <c r="P68" i="1" s="1"/>
  <c r="AR15" i="1"/>
  <c r="O39" i="1"/>
  <c r="P39" i="1" s="1"/>
  <c r="U49" i="1"/>
  <c r="V49" i="1" s="1"/>
  <c r="O141" i="1"/>
  <c r="P141" i="1" s="1"/>
  <c r="AG145" i="1"/>
  <c r="AH145" i="1" s="1"/>
  <c r="AR132" i="1"/>
  <c r="U68" i="1"/>
  <c r="V68" i="1" s="1"/>
  <c r="AJ147" i="1"/>
  <c r="AJ51" i="1"/>
  <c r="AK51" i="1" s="1"/>
  <c r="AR152" i="1"/>
  <c r="AR127" i="1"/>
  <c r="AR122" i="1"/>
  <c r="AR66" i="1"/>
  <c r="AR47" i="1"/>
  <c r="O51" i="1"/>
  <c r="AR119" i="1"/>
  <c r="AR120" i="1"/>
  <c r="O145" i="1"/>
  <c r="P145" i="1" s="1"/>
  <c r="O133" i="1"/>
  <c r="P133" i="1" s="1"/>
  <c r="AR114" i="1"/>
  <c r="AR80" i="1"/>
  <c r="AR61" i="1"/>
  <c r="O24" i="1"/>
  <c r="P24" i="1" s="1"/>
  <c r="U133" i="1"/>
  <c r="AR108" i="1"/>
  <c r="AR118" i="1"/>
  <c r="AR84" i="1"/>
  <c r="AR43" i="1"/>
  <c r="AR92" i="1"/>
  <c r="O21" i="1"/>
  <c r="P21" i="1" s="1"/>
  <c r="AD95" i="1"/>
  <c r="AE95" i="1" s="1"/>
  <c r="AM95" i="1"/>
  <c r="AN95" i="1" s="1"/>
  <c r="AA95" i="1"/>
  <c r="X95" i="1"/>
  <c r="Y95" i="1" s="1"/>
  <c r="R95" i="1"/>
  <c r="S95" i="1" s="1"/>
  <c r="AP95" i="1"/>
  <c r="AQ95" i="1" s="1"/>
  <c r="AR76" i="1"/>
  <c r="AR55" i="1"/>
  <c r="AR103" i="1"/>
  <c r="AR136" i="1"/>
  <c r="AR35" i="1"/>
  <c r="AR131" i="1"/>
  <c r="AJ71" i="1"/>
  <c r="AK71" i="1" s="1"/>
  <c r="O77" i="1"/>
  <c r="P77" i="1" s="1"/>
  <c r="AJ155" i="1"/>
  <c r="AR12" i="1"/>
  <c r="AG26" i="1"/>
  <c r="AH26" i="1" s="1"/>
  <c r="O95" i="1"/>
  <c r="P95" i="1" s="1"/>
  <c r="L37" i="1"/>
  <c r="AG37" i="1" s="1"/>
  <c r="AH37" i="1" s="1"/>
  <c r="O109" i="1"/>
  <c r="P109" i="1" s="1"/>
  <c r="AR116" i="1"/>
  <c r="AR115" i="1"/>
  <c r="AR123" i="1"/>
  <c r="AR38" i="1"/>
  <c r="AR124" i="1"/>
  <c r="O4" i="1"/>
  <c r="P4" i="1" s="1"/>
  <c r="U109" i="1"/>
  <c r="V109" i="1" s="1"/>
  <c r="AP141" i="1"/>
  <c r="AQ141" i="1" s="1"/>
  <c r="AM141" i="1"/>
  <c r="AN141" i="1" s="1"/>
  <c r="AD141" i="1"/>
  <c r="AE141" i="1" s="1"/>
  <c r="AA141" i="1"/>
  <c r="AB141" i="1" s="1"/>
  <c r="X141" i="1"/>
  <c r="Y141" i="1" s="1"/>
  <c r="R141" i="1"/>
  <c r="S141" i="1" s="1"/>
  <c r="AR31" i="1"/>
  <c r="AP75" i="1"/>
  <c r="AQ75" i="1" s="1"/>
  <c r="AM75" i="1"/>
  <c r="AN75" i="1" s="1"/>
  <c r="AD75" i="1"/>
  <c r="AE75" i="1" s="1"/>
  <c r="AA75" i="1"/>
  <c r="X75" i="1"/>
  <c r="Y75" i="1" s="1"/>
  <c r="R75" i="1"/>
  <c r="S75" i="1" s="1"/>
  <c r="AM126" i="1"/>
  <c r="AN126" i="1" s="1"/>
  <c r="AD126" i="1"/>
  <c r="AE126" i="1" s="1"/>
  <c r="X126" i="1"/>
  <c r="Y126" i="1" s="1"/>
  <c r="AP126" i="1"/>
  <c r="AQ126" i="1" s="1"/>
  <c r="AA126" i="1"/>
  <c r="R126" i="1"/>
  <c r="S126" i="1" s="1"/>
  <c r="AR8" i="1"/>
  <c r="AP83" i="1"/>
  <c r="AD83" i="1"/>
  <c r="AE83" i="1" s="1"/>
  <c r="AA83" i="1"/>
  <c r="AB83" i="1" s="1"/>
  <c r="X83" i="1"/>
  <c r="Y83" i="1" s="1"/>
  <c r="AM83" i="1"/>
  <c r="R83" i="1"/>
  <c r="S83" i="1" s="1"/>
  <c r="AJ49" i="1"/>
  <c r="AK49" i="1" s="1"/>
  <c r="AM39" i="1"/>
  <c r="AN39" i="1" s="1"/>
  <c r="AP39" i="1"/>
  <c r="AQ39" i="1" s="1"/>
  <c r="AD39" i="1"/>
  <c r="AE39" i="1" s="1"/>
  <c r="AA39" i="1"/>
  <c r="AB39" i="1" s="1"/>
  <c r="X39" i="1"/>
  <c r="Y39" i="1" s="1"/>
  <c r="R39" i="1"/>
  <c r="S39" i="1" s="1"/>
  <c r="O71" i="1"/>
  <c r="P71" i="1" s="1"/>
  <c r="AR48" i="1"/>
  <c r="AR18" i="1"/>
  <c r="AR148" i="1"/>
  <c r="O153" i="1"/>
  <c r="AP24" i="1"/>
  <c r="AQ24" i="1" s="1"/>
  <c r="AM24" i="1"/>
  <c r="AN24" i="1" s="1"/>
  <c r="AD24" i="1"/>
  <c r="AE24" i="1" s="1"/>
  <c r="AA24" i="1"/>
  <c r="AB24" i="1" s="1"/>
  <c r="X24" i="1"/>
  <c r="R24" i="1"/>
  <c r="S24" i="1" s="1"/>
  <c r="U145" i="1"/>
  <c r="V145" i="1" s="1"/>
  <c r="AR41" i="1"/>
  <c r="AR86" i="1"/>
  <c r="AP133" i="1"/>
  <c r="AM133" i="1"/>
  <c r="AN133" i="1" s="1"/>
  <c r="AA133" i="1"/>
  <c r="AD133" i="1"/>
  <c r="AE133" i="1" s="1"/>
  <c r="X133" i="1"/>
  <c r="Y133" i="1" s="1"/>
  <c r="R133" i="1"/>
  <c r="S133" i="1" s="1"/>
  <c r="AR137" i="1"/>
  <c r="AR87" i="1"/>
  <c r="AR111" i="1"/>
  <c r="AR65" i="1"/>
  <c r="U93" i="1"/>
  <c r="V93" i="1" s="1"/>
  <c r="U129" i="1"/>
  <c r="V129" i="1" s="1"/>
  <c r="AR140" i="1"/>
  <c r="AR89" i="1"/>
  <c r="O26" i="1"/>
  <c r="P26" i="1" s="1"/>
  <c r="AM21" i="1"/>
  <c r="AN21" i="1" s="1"/>
  <c r="AD21" i="1"/>
  <c r="AE21" i="1" s="1"/>
  <c r="AP21" i="1"/>
  <c r="AQ21" i="1" s="1"/>
  <c r="AA21" i="1"/>
  <c r="AB21" i="1" s="1"/>
  <c r="R21" i="1"/>
  <c r="S21" i="1" s="1"/>
  <c r="X21" i="1"/>
  <c r="Y21" i="1" s="1"/>
  <c r="AP151" i="1"/>
  <c r="AM151" i="1"/>
  <c r="X151" i="1"/>
  <c r="AD151" i="1"/>
  <c r="AA151" i="1"/>
  <c r="R151" i="1"/>
  <c r="AP109" i="1"/>
  <c r="AQ109" i="1" s="1"/>
  <c r="AM109" i="1"/>
  <c r="AN109" i="1" s="1"/>
  <c r="X109" i="1"/>
  <c r="Y109" i="1" s="1"/>
  <c r="AD109" i="1"/>
  <c r="AE109" i="1" s="1"/>
  <c r="AA109" i="1"/>
  <c r="R109" i="1"/>
  <c r="S109" i="1" s="1"/>
  <c r="AR139" i="1"/>
  <c r="AP4" i="1"/>
  <c r="AQ4" i="1" s="1"/>
  <c r="AD4" i="1"/>
  <c r="AE4" i="1" s="1"/>
  <c r="AM4" i="1"/>
  <c r="AN4" i="1" s="1"/>
  <c r="X4" i="1"/>
  <c r="Y4" i="1" s="1"/>
  <c r="AA4" i="1"/>
  <c r="AB4" i="1" s="1"/>
  <c r="R4" i="1"/>
  <c r="S4" i="1" s="1"/>
  <c r="L42" i="1"/>
  <c r="AG42" i="1" s="1"/>
  <c r="AH42" i="1" s="1"/>
  <c r="AJ42" i="1"/>
  <c r="AK42" i="1" s="1"/>
  <c r="AR74" i="1"/>
  <c r="AP19" i="1"/>
  <c r="AQ19" i="1" s="1"/>
  <c r="AM19" i="1"/>
  <c r="AN19" i="1" s="1"/>
  <c r="AD19" i="1"/>
  <c r="AE19" i="1" s="1"/>
  <c r="AA19" i="1"/>
  <c r="AB19" i="1" s="1"/>
  <c r="X19" i="1"/>
  <c r="Y19" i="1" s="1"/>
  <c r="R19" i="1"/>
  <c r="S19" i="1" s="1"/>
  <c r="AM121" i="1"/>
  <c r="AN121" i="1" s="1"/>
  <c r="AA121" i="1"/>
  <c r="AP121" i="1"/>
  <c r="AQ121" i="1" s="1"/>
  <c r="X121" i="1"/>
  <c r="Y121" i="1" s="1"/>
  <c r="AD121" i="1"/>
  <c r="AE121" i="1" s="1"/>
  <c r="R121" i="1"/>
  <c r="S121" i="1" s="1"/>
  <c r="AR28" i="1"/>
  <c r="AR10" i="1"/>
  <c r="O93" i="1"/>
  <c r="P93" i="1" s="1"/>
  <c r="AR56" i="1"/>
  <c r="AG4" i="1"/>
  <c r="AH4" i="1" s="1"/>
  <c r="AP117" i="1"/>
  <c r="AQ117" i="1" s="1"/>
  <c r="AM117" i="1"/>
  <c r="AN117" i="1" s="1"/>
  <c r="X117" i="1"/>
  <c r="Y117" i="1" s="1"/>
  <c r="AA117" i="1"/>
  <c r="AB117" i="1" s="1"/>
  <c r="AD117" i="1"/>
  <c r="AE117" i="1" s="1"/>
  <c r="R117" i="1"/>
  <c r="S117" i="1" s="1"/>
  <c r="AM68" i="1"/>
  <c r="AN68" i="1" s="1"/>
  <c r="AP68" i="1"/>
  <c r="AQ68" i="1" s="1"/>
  <c r="AD68" i="1"/>
  <c r="AE68" i="1" s="1"/>
  <c r="AA68" i="1"/>
  <c r="AB68" i="1" s="1"/>
  <c r="X68" i="1"/>
  <c r="Y68" i="1" s="1"/>
  <c r="R68" i="1"/>
  <c r="S68" i="1" s="1"/>
  <c r="AP77" i="1"/>
  <c r="AQ77" i="1" s="1"/>
  <c r="AD77" i="1"/>
  <c r="AE77" i="1" s="1"/>
  <c r="AA77" i="1"/>
  <c r="X77" i="1"/>
  <c r="Y77" i="1" s="1"/>
  <c r="AM77" i="1"/>
  <c r="AN77" i="1" s="1"/>
  <c r="R77" i="1"/>
  <c r="S77" i="1" s="1"/>
  <c r="AM112" i="1"/>
  <c r="AN112" i="1" s="1"/>
  <c r="AP112" i="1"/>
  <c r="AQ112" i="1" s="1"/>
  <c r="AD112" i="1"/>
  <c r="AE112" i="1" s="1"/>
  <c r="AA112" i="1"/>
  <c r="X112" i="1"/>
  <c r="Y112" i="1" s="1"/>
  <c r="R112" i="1"/>
  <c r="S112" i="1" s="1"/>
  <c r="AG109" i="1"/>
  <c r="AH109" i="1" s="1"/>
  <c r="AR54" i="1"/>
  <c r="AM51" i="1"/>
  <c r="AN51" i="1" s="1"/>
  <c r="AA51" i="1"/>
  <c r="AB51" i="1" s="1"/>
  <c r="AP51" i="1"/>
  <c r="AQ51" i="1" s="1"/>
  <c r="AD51" i="1"/>
  <c r="AE51" i="1" s="1"/>
  <c r="X51" i="1"/>
  <c r="Y51" i="1" s="1"/>
  <c r="R51" i="1"/>
  <c r="S51" i="1" s="1"/>
  <c r="AR5" i="1"/>
  <c r="AR104" i="1"/>
  <c r="AJ77" i="1"/>
  <c r="AK77" i="1" s="1"/>
  <c r="AJ68" i="1"/>
  <c r="AK68" i="1" s="1"/>
  <c r="AR46" i="1"/>
  <c r="AR25" i="1"/>
  <c r="AP147" i="1"/>
  <c r="AM147" i="1"/>
  <c r="AD147" i="1"/>
  <c r="X147" i="1"/>
  <c r="AA147" i="1"/>
  <c r="R147" i="1"/>
  <c r="AR29" i="1"/>
  <c r="AG51" i="1"/>
  <c r="AH51" i="1" s="1"/>
  <c r="AJ4" i="1"/>
  <c r="AK4" i="1" s="1"/>
  <c r="U117" i="1"/>
  <c r="V117" i="1" s="1"/>
  <c r="AP70" i="1"/>
  <c r="AQ70" i="1" s="1"/>
  <c r="AA70" i="1"/>
  <c r="AB70" i="1" s="1"/>
  <c r="X70" i="1"/>
  <c r="Y70" i="1" s="1"/>
  <c r="AM70" i="1"/>
  <c r="AN70" i="1" s="1"/>
  <c r="AD70" i="1"/>
  <c r="AE70" i="1" s="1"/>
  <c r="R70" i="1"/>
  <c r="S70" i="1" s="1"/>
  <c r="AR101" i="1"/>
  <c r="AM79" i="1"/>
  <c r="AP79" i="1"/>
  <c r="AQ79" i="1" s="1"/>
  <c r="AD79" i="1"/>
  <c r="AE79" i="1" s="1"/>
  <c r="AA79" i="1"/>
  <c r="AB79" i="1" s="1"/>
  <c r="X79" i="1"/>
  <c r="Y79" i="1" s="1"/>
  <c r="R79" i="1"/>
  <c r="S79" i="1" s="1"/>
  <c r="L150" i="1"/>
  <c r="U150" i="1" s="1"/>
  <c r="AP3" i="1"/>
  <c r="AQ3" i="1" s="1"/>
  <c r="AM3" i="1"/>
  <c r="AN3" i="1" s="1"/>
  <c r="AA3" i="1"/>
  <c r="AB3" i="1" s="1"/>
  <c r="X3" i="1"/>
  <c r="Y3" i="1" s="1"/>
  <c r="AD3" i="1"/>
  <c r="AE3" i="1" s="1"/>
  <c r="R3" i="1"/>
  <c r="S3" i="1" s="1"/>
  <c r="AP155" i="1"/>
  <c r="AQ155" i="1" s="1"/>
  <c r="AD155" i="1"/>
  <c r="AE155" i="1" s="1"/>
  <c r="AM155" i="1"/>
  <c r="AA155" i="1"/>
  <c r="AB155" i="1" s="1"/>
  <c r="X155" i="1"/>
  <c r="Y155" i="1" s="1"/>
  <c r="R155" i="1"/>
  <c r="S155" i="1" s="1"/>
  <c r="U141" i="1"/>
  <c r="V141" i="1" s="1"/>
  <c r="AM71" i="1"/>
  <c r="AN71" i="1" s="1"/>
  <c r="AP71" i="1"/>
  <c r="AQ71" i="1" s="1"/>
  <c r="AD71" i="1"/>
  <c r="AE71" i="1" s="1"/>
  <c r="X71" i="1"/>
  <c r="Y71" i="1" s="1"/>
  <c r="AA71" i="1"/>
  <c r="AB71" i="1" s="1"/>
  <c r="R71" i="1"/>
  <c r="S71" i="1" s="1"/>
  <c r="O75" i="1"/>
  <c r="P75" i="1" s="1"/>
  <c r="O19" i="1"/>
  <c r="P19" i="1" s="1"/>
  <c r="AR91" i="1"/>
  <c r="AR107" i="1"/>
  <c r="O121" i="1"/>
  <c r="P121" i="1" s="1"/>
  <c r="AJ83" i="1"/>
  <c r="AJ3" i="1"/>
  <c r="AK3" i="1" s="1"/>
  <c r="AR144" i="1"/>
  <c r="U126" i="1"/>
  <c r="V126" i="1" s="1"/>
  <c r="AM129" i="1"/>
  <c r="AN129" i="1" s="1"/>
  <c r="AP129" i="1"/>
  <c r="AA129" i="1"/>
  <c r="X129" i="1"/>
  <c r="Y129" i="1" s="1"/>
  <c r="AD129" i="1"/>
  <c r="AE129" i="1" s="1"/>
  <c r="R129" i="1"/>
  <c r="S129" i="1" s="1"/>
  <c r="AR102" i="1"/>
  <c r="AR128" i="1"/>
  <c r="AP26" i="1"/>
  <c r="AQ26" i="1" s="1"/>
  <c r="AM26" i="1"/>
  <c r="AN26" i="1" s="1"/>
  <c r="AD26" i="1"/>
  <c r="AE26" i="1" s="1"/>
  <c r="AA26" i="1"/>
  <c r="AB26" i="1" s="1"/>
  <c r="X26" i="1"/>
  <c r="Y26" i="1" s="1"/>
  <c r="R26" i="1"/>
  <c r="S26" i="1" s="1"/>
  <c r="AR13" i="1"/>
  <c r="AR53" i="1"/>
  <c r="U39" i="1"/>
  <c r="V39" i="1" s="1"/>
  <c r="AG79" i="1"/>
  <c r="AH79" i="1" s="1"/>
  <c r="L62" i="1"/>
  <c r="AG62" i="1" s="1"/>
  <c r="AH62" i="1" s="1"/>
  <c r="U62" i="1"/>
  <c r="V62" i="1" s="1"/>
  <c r="O62" i="1"/>
  <c r="P62" i="1" s="1"/>
  <c r="AM153" i="1"/>
  <c r="AP153" i="1"/>
  <c r="AD153" i="1"/>
  <c r="X153" i="1"/>
  <c r="Y153" i="1" s="1"/>
  <c r="AA153" i="1"/>
  <c r="R153" i="1"/>
  <c r="AJ153" i="1"/>
  <c r="AK153" i="1" s="1"/>
  <c r="L17" i="1"/>
  <c r="AG17" i="1" s="1"/>
  <c r="AH17" i="1" s="1"/>
  <c r="AP49" i="1"/>
  <c r="AQ49" i="1" s="1"/>
  <c r="AM49" i="1"/>
  <c r="AN49" i="1" s="1"/>
  <c r="AD49" i="1"/>
  <c r="AE49" i="1" s="1"/>
  <c r="AA49" i="1"/>
  <c r="AB49" i="1" s="1"/>
  <c r="X49" i="1"/>
  <c r="Y49" i="1" s="1"/>
  <c r="R49" i="1"/>
  <c r="S49" i="1" s="1"/>
  <c r="AR45" i="1"/>
  <c r="AG153" i="1"/>
  <c r="AR33" i="1"/>
  <c r="AP93" i="1"/>
  <c r="AQ93" i="1" s="1"/>
  <c r="AM93" i="1"/>
  <c r="AN93" i="1" s="1"/>
  <c r="AA93" i="1"/>
  <c r="AB93" i="1" s="1"/>
  <c r="AD93" i="1"/>
  <c r="AE93" i="1" s="1"/>
  <c r="X93" i="1"/>
  <c r="Y93" i="1" s="1"/>
  <c r="R93" i="1"/>
  <c r="S93" i="1" s="1"/>
  <c r="AR27" i="1"/>
  <c r="AJ79" i="1"/>
  <c r="AK79" i="1" s="1"/>
  <c r="L69" i="1"/>
  <c r="AG69" i="1" s="1"/>
  <c r="AH69" i="1" s="1"/>
  <c r="O49" i="1"/>
  <c r="P49" i="1" s="1"/>
  <c r="AJ141" i="1"/>
  <c r="AK141" i="1" s="1"/>
  <c r="AR81" i="1"/>
  <c r="AG75" i="1"/>
  <c r="AH75" i="1" s="1"/>
  <c r="AG19" i="1"/>
  <c r="AH19" i="1" s="1"/>
  <c r="AM145" i="1"/>
  <c r="AN145" i="1" s="1"/>
  <c r="AD145" i="1"/>
  <c r="AE145" i="1" s="1"/>
  <c r="AP145" i="1"/>
  <c r="X145" i="1"/>
  <c r="Y145" i="1" s="1"/>
  <c r="AA145" i="1"/>
  <c r="R145" i="1"/>
  <c r="S145" i="1" s="1"/>
  <c r="AG121" i="1"/>
  <c r="AG83" i="1"/>
  <c r="AR100" i="1"/>
  <c r="O155" i="1"/>
  <c r="P155" i="1" s="1"/>
  <c r="AG126" i="1"/>
  <c r="AR32" i="1"/>
  <c r="AR16" i="1"/>
  <c r="AG39" i="1"/>
  <c r="AH39" i="1" s="1"/>
  <c r="AR94" i="1" l="1"/>
  <c r="AJ62" i="1"/>
  <c r="AK62" i="1" s="1"/>
  <c r="AK83" i="1"/>
  <c r="AR83" i="1" s="1"/>
  <c r="Y151" i="1"/>
  <c r="AR151" i="1" s="1"/>
  <c r="AJ150" i="1"/>
  <c r="Y24" i="1"/>
  <c r="AR24" i="1" s="1"/>
  <c r="Y147" i="1"/>
  <c r="AR147" i="1" s="1"/>
  <c r="AJ69" i="1"/>
  <c r="AK69" i="1" s="1"/>
  <c r="O150" i="1"/>
  <c r="AR21" i="1"/>
  <c r="U69" i="1"/>
  <c r="V69" i="1" s="1"/>
  <c r="AG150" i="1"/>
  <c r="AR95" i="1"/>
  <c r="AR141" i="1"/>
  <c r="AR79" i="1"/>
  <c r="AR126" i="1"/>
  <c r="AR39" i="1"/>
  <c r="AR19" i="1"/>
  <c r="AR117" i="1"/>
  <c r="O37" i="1"/>
  <c r="P37" i="1" s="1"/>
  <c r="AR3" i="1"/>
  <c r="AR129" i="1"/>
  <c r="AR70" i="1"/>
  <c r="AR77" i="1"/>
  <c r="AR112" i="1"/>
  <c r="AJ37" i="1"/>
  <c r="AK37" i="1" s="1"/>
  <c r="O17" i="1"/>
  <c r="P17" i="1" s="1"/>
  <c r="AR26" i="1"/>
  <c r="AR4" i="1"/>
  <c r="AR155" i="1"/>
  <c r="O69" i="1"/>
  <c r="P69" i="1" s="1"/>
  <c r="U17" i="1"/>
  <c r="V17" i="1" s="1"/>
  <c r="AR153" i="1"/>
  <c r="AM62" i="1"/>
  <c r="AN62" i="1" s="1"/>
  <c r="AP62" i="1"/>
  <c r="AQ62" i="1" s="1"/>
  <c r="AD62" i="1"/>
  <c r="AE62" i="1" s="1"/>
  <c r="AA62" i="1"/>
  <c r="AB62" i="1" s="1"/>
  <c r="X62" i="1"/>
  <c r="Y62" i="1" s="1"/>
  <c r="R62" i="1"/>
  <c r="AR121" i="1"/>
  <c r="AR93" i="1"/>
  <c r="O42" i="1"/>
  <c r="P42" i="1" s="1"/>
  <c r="AR133" i="1"/>
  <c r="AJ17" i="1"/>
  <c r="AK17" i="1" s="1"/>
  <c r="U42" i="1"/>
  <c r="V42" i="1" s="1"/>
  <c r="AR68" i="1"/>
  <c r="AM37" i="1"/>
  <c r="AN37" i="1" s="1"/>
  <c r="AP37" i="1"/>
  <c r="AQ37" i="1" s="1"/>
  <c r="AD37" i="1"/>
  <c r="AE37" i="1" s="1"/>
  <c r="AA37" i="1"/>
  <c r="X37" i="1"/>
  <c r="Y37" i="1" s="1"/>
  <c r="R37" i="1"/>
  <c r="S37" i="1" s="1"/>
  <c r="AP17" i="1"/>
  <c r="AQ17" i="1" s="1"/>
  <c r="AM17" i="1"/>
  <c r="AN17" i="1" s="1"/>
  <c r="AD17" i="1"/>
  <c r="AE17" i="1" s="1"/>
  <c r="AA17" i="1"/>
  <c r="AB17" i="1" s="1"/>
  <c r="X17" i="1"/>
  <c r="Y17" i="1" s="1"/>
  <c r="R17" i="1"/>
  <c r="S17" i="1" s="1"/>
  <c r="AR145" i="1"/>
  <c r="AM69" i="1"/>
  <c r="AP69" i="1"/>
  <c r="AQ69" i="1" s="1"/>
  <c r="AD69" i="1"/>
  <c r="AE69" i="1" s="1"/>
  <c r="AA69" i="1"/>
  <c r="AB69" i="1" s="1"/>
  <c r="X69" i="1"/>
  <c r="Y69" i="1" s="1"/>
  <c r="R69" i="1"/>
  <c r="S69" i="1" s="1"/>
  <c r="AP42" i="1"/>
  <c r="AQ42" i="1" s="1"/>
  <c r="AD42" i="1"/>
  <c r="AE42" i="1" s="1"/>
  <c r="AA42" i="1"/>
  <c r="AB42" i="1" s="1"/>
  <c r="X42" i="1"/>
  <c r="Y42" i="1" s="1"/>
  <c r="AM42" i="1"/>
  <c r="AN42" i="1" s="1"/>
  <c r="R42" i="1"/>
  <c r="S42" i="1" s="1"/>
  <c r="AR75" i="1"/>
  <c r="AM150" i="1"/>
  <c r="AD150" i="1"/>
  <c r="AA150" i="1"/>
  <c r="AB150" i="1" s="1"/>
  <c r="AP150" i="1"/>
  <c r="X150" i="1"/>
  <c r="Y150" i="1" s="1"/>
  <c r="R150" i="1"/>
  <c r="AR109" i="1"/>
  <c r="AR71" i="1"/>
  <c r="AR49" i="1"/>
  <c r="AR51" i="1"/>
  <c r="U37" i="1"/>
  <c r="V37" i="1" s="1"/>
  <c r="S62" i="1" l="1"/>
  <c r="AR62" i="1" s="1"/>
  <c r="AR150" i="1"/>
  <c r="AR17" i="1"/>
  <c r="AR42" i="1"/>
  <c r="AR37" i="1"/>
  <c r="AR69" i="1"/>
  <c r="B47" i="2" l="1"/>
  <c r="B46" i="2"/>
  <c r="E42" i="2"/>
  <c r="B43" i="2"/>
  <c r="B42" i="2"/>
  <c r="E35" i="2"/>
  <c r="H38" i="2"/>
  <c r="E38" i="2"/>
  <c r="E39" i="2"/>
  <c r="B39" i="2"/>
  <c r="B38" i="2"/>
  <c r="E34" i="2"/>
  <c r="B35" i="2"/>
  <c r="E33" i="2"/>
  <c r="B34" i="2"/>
  <c r="H29" i="2"/>
  <c r="B33" i="2"/>
  <c r="E30" i="2"/>
  <c r="E29" i="2"/>
  <c r="B30" i="2"/>
  <c r="B29" i="2"/>
  <c r="M23" i="2"/>
  <c r="M25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D23" i="2"/>
  <c r="E23" i="2" s="1"/>
  <c r="F23" i="2" s="1"/>
  <c r="G23" i="2" s="1"/>
  <c r="H23" i="2" s="1"/>
  <c r="I23" i="2" s="1"/>
  <c r="J23" i="2" s="1"/>
  <c r="K23" i="2" s="1"/>
  <c r="C23" i="2"/>
  <c r="B23" i="2"/>
  <c r="E18" i="2"/>
  <c r="G15" i="2"/>
  <c r="G14" i="2"/>
  <c r="B18" i="2"/>
  <c r="B15" i="2"/>
  <c r="B14" i="2"/>
  <c r="I10" i="2"/>
  <c r="F11" i="2"/>
  <c r="D11" i="2"/>
  <c r="B11" i="2"/>
  <c r="F10" i="2"/>
  <c r="D10" i="2"/>
  <c r="E7" i="2"/>
  <c r="B10" i="2"/>
  <c r="E6" i="2"/>
  <c r="B7" i="2"/>
  <c r="B6" i="2"/>
</calcChain>
</file>

<file path=xl/comments1.xml><?xml version="1.0" encoding="utf-8"?>
<comments xmlns="http://schemas.openxmlformats.org/spreadsheetml/2006/main">
  <authors>
    <author/>
  </authors>
  <commentList>
    <comment ref="T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4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4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5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D5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E5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6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6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6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6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7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8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10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12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L13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3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F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I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O1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48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52" authorId="0" shapeId="0">
      <text>
        <r>
          <rPr>
            <sz val="1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<sst xmlns="http://schemas.openxmlformats.org/spreadsheetml/2006/main" count="1694" uniqueCount="1631">
  <si>
    <t>Timestamp</t>
  </si>
  <si>
    <t>Username</t>
  </si>
  <si>
    <t>Surname and Name</t>
  </si>
  <si>
    <t>Matricula</t>
  </si>
  <si>
    <t>1) - DISIA - A train passage was recorded, with a total duration of 70+F s and an Leq = 65+E dB(A). The train was long 100+D*20 m. Compute the value of the Normalized SEL to be stored in the DISIA database</t>
  </si>
  <si>
    <t>2) - DISIA - The traffic during the day period along a road (no slope and normal pavement) is the following:  (10+F)*1000 cars, (10+E)*3000 heavy trucks, (10+D)*100 motorcycles. The SEL values are 80+A, 85+B and 90+D dB(A) respectively. Compute Leq,7.5m.</t>
  </si>
  <si>
    <t>3) - RAMSETE - Compute the critical time tc for a pyramid tracing simulation inside a room having a volume V=500+EF m³, a surface S=400+D*10 m², launching 8192 pyramids with the standard value of β=0.1</t>
  </si>
  <si>
    <t>4) RAMSETE - Compute the number of pyramids being launched when the subdivision level is set to 5+F</t>
  </si>
  <si>
    <t>5) Compute the total SPL in dB(A) of a white spectrum in octave bands ranging between 31 Hz (where the SPL is 60+F dB) and 16 kHz (10 octave bands)</t>
  </si>
  <si>
    <t>6) Compute the value of Leq at the end of a measurement, during which the SPL was 60+F dB(A) for 1+D hours and 65+E dB(A) for 2+C/3 hours</t>
  </si>
  <si>
    <t>7) Compute the SPL inside a room having a volume V=300+D*20 m³, a reverberation time of 1+F/10s, where a point source is located in a corner, with an Lw=90+E dB, and the receiver is at the critical distance.</t>
  </si>
  <si>
    <t>8) Compute the sound reduction in dB caused by a noise screen having an effective height of 3+F/10 m, placed at the center point between source and receiver, which are distant 10+E m. The sound has a dominant frequency of 100*(1+D) Hz.</t>
  </si>
  <si>
    <t>9) Compute the value of Clarity C80 in a simplified case where the direct sound has an SPL=80+F dB and the reverberant sound (which starts after 80 ms) has an SPL=80+E dB</t>
  </si>
  <si>
    <t>10) The anechoic impulse response of a loudspeaker is measured, and a numerical inverse FIR filter is computed, having a length of 2^(5+F) samples at Fsamp=48 kHz. The main peak of the inverse filter is in the middle. How much latency (in ms) is caused by the usage of this digital filter employing a zero-latency DSP processor?</t>
  </si>
  <si>
    <t>simone.kratter@studenti.unipr.it</t>
  </si>
  <si>
    <t>kratter simone</t>
  </si>
  <si>
    <t>133.5 dB(A)</t>
  </si>
  <si>
    <t>127 dB</t>
  </si>
  <si>
    <t>luca.kubin@studenti.unipr.it</t>
  </si>
  <si>
    <t>Kubin Luca</t>
  </si>
  <si>
    <t>89.4 dB(A)</t>
  </si>
  <si>
    <t>86.8 dB(A)</t>
  </si>
  <si>
    <t>2.25 s</t>
  </si>
  <si>
    <t>70.3 dB(A)</t>
  </si>
  <si>
    <t>91.7 dB</t>
  </si>
  <si>
    <t>19.7 dB</t>
  </si>
  <si>
    <t>0 dB</t>
  </si>
  <si>
    <t>85.3 ms</t>
  </si>
  <si>
    <t>tinatin.pataridze@studenti.unipr.it</t>
  </si>
  <si>
    <t>Pataridze Tinatin</t>
  </si>
  <si>
    <t>ana.khmaladze@studenti.unipr.it</t>
  </si>
  <si>
    <t>khmaladze ana</t>
  </si>
  <si>
    <t>geremia.negri@studenti.unipr.it</t>
  </si>
  <si>
    <t>Negri Geremia</t>
  </si>
  <si>
    <t>84.7 dB(A)</t>
  </si>
  <si>
    <t>126.1 dB(A)</t>
  </si>
  <si>
    <t>2.1 s</t>
  </si>
  <si>
    <t>65.1 dB(A)</t>
  </si>
  <si>
    <t>22.1 dB</t>
  </si>
  <si>
    <t>-1 dB</t>
  </si>
  <si>
    <t>0.67 ms</t>
  </si>
  <si>
    <t>gloria.pietra@studenti.unipr.it</t>
  </si>
  <si>
    <t>Pietra Gloria</t>
  </si>
  <si>
    <t>87.5 dB(A)</t>
  </si>
  <si>
    <t>128.9 dB(A)</t>
  </si>
  <si>
    <t>2.3 s</t>
  </si>
  <si>
    <t>66.8 dB(A)</t>
  </si>
  <si>
    <t>19.7 dB</t>
  </si>
  <si>
    <t>-3 dB</t>
  </si>
  <si>
    <t>0.67 ms</t>
  </si>
  <si>
    <t>manuel.mari@studenti.unipr.it</t>
  </si>
  <si>
    <t>Mari Manuel</t>
  </si>
  <si>
    <t>81.1149 dB(A)</t>
  </si>
  <si>
    <t>126.6709 dB(A)</t>
  </si>
  <si>
    <t>1.874 s</t>
  </si>
  <si>
    <t>65.3711 dB(A)</t>
  </si>
  <si>
    <t>22.2183 dB</t>
  </si>
  <si>
    <t>1 dB</t>
  </si>
  <si>
    <t>1.33333 ms</t>
  </si>
  <si>
    <t>michele.policastro@studenti.unipr.it</t>
  </si>
  <si>
    <t>POLICASTRO MICHELE</t>
  </si>
  <si>
    <t>86.11 dB(A)</t>
  </si>
  <si>
    <t>87.21 dB(A)</t>
  </si>
  <si>
    <t>2.17 s</t>
  </si>
  <si>
    <t>66.7798 dB(A)</t>
  </si>
  <si>
    <t>86.4667 dB</t>
  </si>
  <si>
    <t>18.39 dB</t>
  </si>
  <si>
    <t>-2 dB</t>
  </si>
  <si>
    <t>matus.kovalcik@studenti.unipr.it</t>
  </si>
  <si>
    <t>Kovalcik Matus</t>
  </si>
  <si>
    <t>matteo.lagrotta@studenti.unipr.it</t>
  </si>
  <si>
    <t>La Grotta Matteo</t>
  </si>
  <si>
    <t>82.515 bB(A)</t>
  </si>
  <si>
    <t>85.3949 dB(A)</t>
  </si>
  <si>
    <t>2.04 s</t>
  </si>
  <si>
    <t>67.6727 dB(A)</t>
  </si>
  <si>
    <t>84.4624 dB</t>
  </si>
  <si>
    <t>19.8975 dB</t>
  </si>
  <si>
    <t>9 dB</t>
  </si>
  <si>
    <t>alessandro.piola@studenti.unipr.it</t>
  </si>
  <si>
    <t>Piola Alessandro</t>
  </si>
  <si>
    <t>80.5 dB(A)</t>
  </si>
  <si>
    <t>80.5 dB(A)</t>
  </si>
  <si>
    <t>1.860 s</t>
  </si>
  <si>
    <t>68.4 dB(A)</t>
  </si>
  <si>
    <t>27.2 dB</t>
  </si>
  <si>
    <t>9 dB</t>
  </si>
  <si>
    <t>170.666 ms</t>
  </si>
  <si>
    <t>roxanageorgiana.selariu@studenti.unipr.it</t>
  </si>
  <si>
    <t>Selariu Roxana Georgiana</t>
  </si>
  <si>
    <t>87.6 dB(A)</t>
  </si>
  <si>
    <t>2.119 s</t>
  </si>
  <si>
    <t>69.965 dB(A)</t>
  </si>
  <si>
    <t>26.1 dB</t>
  </si>
  <si>
    <t>filippo.grolli@studenti.unipr.it</t>
  </si>
  <si>
    <t>Grolli Filippo</t>
  </si>
  <si>
    <t>86.7 dB(A)</t>
  </si>
  <si>
    <t>88.5 dB(A)</t>
  </si>
  <si>
    <t>2.169 s</t>
  </si>
  <si>
    <t>67.4 dB(A)</t>
  </si>
  <si>
    <t>87.9 dB</t>
  </si>
  <si>
    <t>29.1 dB</t>
  </si>
  <si>
    <t>-1 dB</t>
  </si>
  <si>
    <t>10.7 ms</t>
  </si>
  <si>
    <t>mattia.antonini1@studenti.unipr.it</t>
  </si>
  <si>
    <t>Antonini Mattia</t>
  </si>
  <si>
    <t>88.4 dB(A)</t>
  </si>
  <si>
    <t>90.1 dB(A)</t>
  </si>
  <si>
    <t>2.076 s</t>
  </si>
  <si>
    <t>89.7 dB(A)</t>
  </si>
  <si>
    <t>67.7 dB(A)</t>
  </si>
  <si>
    <t>90.1 dB</t>
  </si>
  <si>
    <t>20.6 dB</t>
  </si>
  <si>
    <t>-7 dB</t>
  </si>
  <si>
    <t>1.333 ms</t>
  </si>
  <si>
    <t>luca.fornaciari2@studenti.unipr.it</t>
  </si>
  <si>
    <t>Fornaciari Luca</t>
  </si>
  <si>
    <t>84.6 dB(A)</t>
  </si>
  <si>
    <t>87.0 dB(A)</t>
  </si>
  <si>
    <t>2.155 s</t>
  </si>
  <si>
    <t>58.2 dB(A)</t>
  </si>
  <si>
    <t>84.0 dB</t>
  </si>
  <si>
    <t>11.4 dB</t>
  </si>
  <si>
    <t>1.0 dB</t>
  </si>
  <si>
    <t>1.333 ms</t>
  </si>
  <si>
    <t>alessandro.gabelli@studenti.unipr.it</t>
  </si>
  <si>
    <t>Gabelli Alessandro</t>
  </si>
  <si>
    <t>88.8 dB(A)</t>
  </si>
  <si>
    <t>88.6 dB(A)</t>
  </si>
  <si>
    <t>2.312 s</t>
  </si>
  <si>
    <t>69.4 dB(A)</t>
  </si>
  <si>
    <t>89.1 dB</t>
  </si>
  <si>
    <t>15.3 dB</t>
  </si>
  <si>
    <t>-3 dB</t>
  </si>
  <si>
    <t>5.3 ms</t>
  </si>
  <si>
    <t>edoardo.benassi@studenti.unipr.it</t>
  </si>
  <si>
    <t>Benassi Edoardo</t>
  </si>
  <si>
    <t>85.3 dB(A)</t>
  </si>
  <si>
    <t>88.1 dB(A)</t>
  </si>
  <si>
    <t>2.028 s</t>
  </si>
  <si>
    <t>91.7 db(A)</t>
  </si>
  <si>
    <t>67.5 db(A)</t>
  </si>
  <si>
    <t>87.2 dB</t>
  </si>
  <si>
    <t>22.4 dB</t>
  </si>
  <si>
    <t>5.3 ms</t>
  </si>
  <si>
    <t>matteo.bolognini@studenti.unipr.it</t>
  </si>
  <si>
    <t>Bolognini Matteo</t>
  </si>
  <si>
    <t>89.7 dB(A)</t>
  </si>
  <si>
    <t>88.5 dB(A)</t>
  </si>
  <si>
    <t>2.37812 s</t>
  </si>
  <si>
    <t>69.7 dB(A)</t>
  </si>
  <si>
    <t>89.9 dB</t>
  </si>
  <si>
    <t>14.6 dB</t>
  </si>
  <si>
    <t>-1 dB</t>
  </si>
  <si>
    <t>alessio.biscaldi@studenti.unipr.it</t>
  </si>
  <si>
    <t>Biscaldi Alessio</t>
  </si>
  <si>
    <t>85.9 dB(A)</t>
  </si>
  <si>
    <t>87.5 dB(A)</t>
  </si>
  <si>
    <t>2.22 s</t>
  </si>
  <si>
    <t>67.3 dB(A)</t>
  </si>
  <si>
    <t>86.8 dB</t>
  </si>
  <si>
    <t>14.6 dB</t>
  </si>
  <si>
    <t>6.0 dB</t>
  </si>
  <si>
    <t>85.333 ms</t>
  </si>
  <si>
    <t>cristiano.trasatti@studenti.unipr.it</t>
  </si>
  <si>
    <t>Trasatti Cristiano</t>
  </si>
  <si>
    <t>88.2 dB(A)</t>
  </si>
  <si>
    <t>88.2 dB(A)</t>
  </si>
  <si>
    <t>2.200 s</t>
  </si>
  <si>
    <t>92.7 dB(A)</t>
  </si>
  <si>
    <t>69.8 dB(A)</t>
  </si>
  <si>
    <t>90 dB</t>
  </si>
  <si>
    <t>21.2 dB</t>
  </si>
  <si>
    <t>-2 dB</t>
  </si>
  <si>
    <t>10.67 ms</t>
  </si>
  <si>
    <t>daniel.pinardi@studenti.unipr.it</t>
  </si>
  <si>
    <t>Pinardi Daniel</t>
  </si>
  <si>
    <t>89.6 dB(A)</t>
  </si>
  <si>
    <t>90.4 dB(A)</t>
  </si>
  <si>
    <t>2.219 s</t>
  </si>
  <si>
    <t>91.0 dB(A)</t>
  </si>
  <si>
    <t>68.9 dB(A)</t>
  </si>
  <si>
    <t>91.1 dB</t>
  </si>
  <si>
    <t>19.1 dB</t>
  </si>
  <si>
    <t>-6.0 dB</t>
  </si>
  <si>
    <t>2.667 ms</t>
  </si>
  <si>
    <t>matteo.mingardi@studenti.unipr.it</t>
  </si>
  <si>
    <t>Mingardi Matteo</t>
  </si>
  <si>
    <t>85.4 dB(A)</t>
  </si>
  <si>
    <t>90.6 dB(A)</t>
  </si>
  <si>
    <t>1.948 s</t>
  </si>
  <si>
    <t>94.7 dB(A)</t>
  </si>
  <si>
    <t>68.1 dB(A)</t>
  </si>
  <si>
    <t>88.5 dB</t>
  </si>
  <si>
    <t>22.9 dB</t>
  </si>
  <si>
    <t>1.0 dB</t>
  </si>
  <si>
    <t>42.667 ms</t>
  </si>
  <si>
    <t>arturo.gaita@studenti.unipr.it</t>
  </si>
  <si>
    <t>Gaita Arturo</t>
  </si>
  <si>
    <t>80.3 dB(A)</t>
  </si>
  <si>
    <t>89.4 dB(A)</t>
  </si>
  <si>
    <t>1.770 s</t>
  </si>
  <si>
    <t>92.7 dB(A)</t>
  </si>
  <si>
    <t>65.3 dB(A)</t>
  </si>
  <si>
    <t>82.9 dB</t>
  </si>
  <si>
    <t>23.9 dB</t>
  </si>
  <si>
    <t>4.0 dB</t>
  </si>
  <si>
    <t>10.667 ms</t>
  </si>
  <si>
    <t>bachar.rizk@studenti.unipr.it</t>
  </si>
  <si>
    <t>Bachar Rizk</t>
  </si>
  <si>
    <t>81.7 dB(A)</t>
  </si>
  <si>
    <t>88.7 dB(A)</t>
  </si>
  <si>
    <t>1.8449 s</t>
  </si>
  <si>
    <t>93.7 dB(A)</t>
  </si>
  <si>
    <t>66.2 dB(A)</t>
  </si>
  <si>
    <t>84.4 dB</t>
  </si>
  <si>
    <t>23.3 dB</t>
  </si>
  <si>
    <t>4 dB</t>
  </si>
  <si>
    <t>21.333 ms</t>
  </si>
  <si>
    <t>alessandro.volante@studenti.unipr.it</t>
  </si>
  <si>
    <t>volante alessandro</t>
  </si>
  <si>
    <t>84.6 dB(A)</t>
  </si>
  <si>
    <t>87.9 dB(A)</t>
  </si>
  <si>
    <t>2.087 s</t>
  </si>
  <si>
    <t>90.7 dB(A)</t>
  </si>
  <si>
    <t>66.4 dB(A)</t>
  </si>
  <si>
    <t>85.6 dB</t>
  </si>
  <si>
    <t>18.9 dB</t>
  </si>
  <si>
    <t>0.0 dB</t>
  </si>
  <si>
    <t>2.667 ms</t>
  </si>
  <si>
    <t>andrea.mocerino@studenti.unipr.it</t>
  </si>
  <si>
    <t>Mocerino Andrea</t>
  </si>
  <si>
    <t>85.3 dB(A)</t>
  </si>
  <si>
    <t>90.6 dB(A)</t>
  </si>
  <si>
    <t>1.941 s</t>
  </si>
  <si>
    <t>92.7 dB(A)</t>
  </si>
  <si>
    <t>66.9 dB(A)</t>
  </si>
  <si>
    <t>87.9 dB</t>
  </si>
  <si>
    <t>22.4 dB</t>
  </si>
  <si>
    <t>-1.0 dB</t>
  </si>
  <si>
    <t>10.667 ms</t>
  </si>
  <si>
    <t>nicola.polloni@studenti.unipr.it</t>
  </si>
  <si>
    <t>Polloni Nicola</t>
  </si>
  <si>
    <t>87.3 dB(A)</t>
  </si>
  <si>
    <t>87.6 dB(A)</t>
  </si>
  <si>
    <t>2.228 s</t>
  </si>
  <si>
    <t>93.7 dB(A)</t>
  </si>
  <si>
    <t>68.4 dB(A)</t>
  </si>
  <si>
    <t>88.7 dB</t>
  </si>
  <si>
    <t>19.3 dB</t>
  </si>
  <si>
    <t>1 dB</t>
  </si>
  <si>
    <t>21.33 ms</t>
  </si>
  <si>
    <t>federico.care@studenti.unipr.it</t>
  </si>
  <si>
    <t>Care' Federico</t>
  </si>
  <si>
    <t>84.3 dB(A)</t>
  </si>
  <si>
    <t>89.27 dB(A)</t>
  </si>
  <si>
    <t>1.929 s</t>
  </si>
  <si>
    <t>87.6 dB(A)</t>
  </si>
  <si>
    <t>65.3 dB(A)</t>
  </si>
  <si>
    <t>85.3 dB</t>
  </si>
  <si>
    <t>22.5 dB</t>
  </si>
  <si>
    <t>-5 dB</t>
  </si>
  <si>
    <t>0.33 m/s</t>
  </si>
  <si>
    <t>davide.manetti@studenti.unipr.it</t>
  </si>
  <si>
    <t>Manetti Davide</t>
  </si>
  <si>
    <t>84.5 dB(A)</t>
  </si>
  <si>
    <t>88.7 dB(A)</t>
  </si>
  <si>
    <t>2.009 s</t>
  </si>
  <si>
    <t>96.7 dB(A)</t>
  </si>
  <si>
    <t>69 dB(A)</t>
  </si>
  <si>
    <t>87.5 dB</t>
  </si>
  <si>
    <t>23.5 dB</t>
  </si>
  <si>
    <t>5 dB</t>
  </si>
  <si>
    <t>170.6 ms</t>
  </si>
  <si>
    <t>marcello.bonini@studenti.unipr.it</t>
  </si>
  <si>
    <t>Bonini Marcello</t>
  </si>
  <si>
    <t>82.4 dB(A)</t>
  </si>
  <si>
    <t>87.2 dB(A)</t>
  </si>
  <si>
    <t>1.996 s</t>
  </si>
  <si>
    <t>63.4 dB(A)</t>
  </si>
  <si>
    <t>82.4 dB(A)</t>
  </si>
  <si>
    <t>18.7 dB</t>
  </si>
  <si>
    <t>-1 dB</t>
  </si>
  <si>
    <t>0.3333 ms</t>
  </si>
  <si>
    <t>davide.mattioli@studenti.unipr.it</t>
  </si>
  <si>
    <t>Mattioli Davide</t>
  </si>
  <si>
    <t>84.9 dB(A)</t>
  </si>
  <si>
    <t>1.98453 s</t>
  </si>
  <si>
    <t>66.9 dB(A)</t>
  </si>
  <si>
    <t>87.0 dB</t>
  </si>
  <si>
    <t>-1 dB</t>
  </si>
  <si>
    <t>stefano.cristoni@studenti.unipr.it</t>
  </si>
  <si>
    <t>Cristoni Stefano</t>
  </si>
  <si>
    <t>87.2 dB(A)</t>
  </si>
  <si>
    <t>90.1 dB(A)</t>
  </si>
  <si>
    <t>2.097 s</t>
  </si>
  <si>
    <t>90.7 dB(A)</t>
  </si>
  <si>
    <t>68.9 dB(A)</t>
  </si>
  <si>
    <t>88.9 dB(A)</t>
  </si>
  <si>
    <t>20.2 dB</t>
  </si>
  <si>
    <t>lorenzo.gandolfi@studenti.unipr.it</t>
  </si>
  <si>
    <t>Gandolfi Lorenzo</t>
  </si>
  <si>
    <t>86.5 dB(A)</t>
  </si>
  <si>
    <t>89.8 dB(A)</t>
  </si>
  <si>
    <t>2.099 s</t>
  </si>
  <si>
    <t>88.7 dB(A)</t>
  </si>
  <si>
    <t>67.9 dB(A)</t>
  </si>
  <si>
    <t>87.4 dB(A)</t>
  </si>
  <si>
    <t>19.3 dB</t>
  </si>
  <si>
    <t>marianna.lorenzano@studenti.unipr.it</t>
  </si>
  <si>
    <t>Lorenzano Marianna</t>
  </si>
  <si>
    <t>83.7 dB(A)</t>
  </si>
  <si>
    <t>130.2 dB(A)</t>
  </si>
  <si>
    <t>2.125 s</t>
  </si>
  <si>
    <t>65 dB(A)</t>
  </si>
  <si>
    <t>84 dB</t>
  </si>
  <si>
    <t>21.5 dB</t>
  </si>
  <si>
    <t>5 dB</t>
  </si>
  <si>
    <t>10.667 ms</t>
  </si>
  <si>
    <t>fabio.pezzi@studenti.unipr.it</t>
  </si>
  <si>
    <t>Pezzi Fabio</t>
  </si>
  <si>
    <t>79.2 dB(A)</t>
  </si>
  <si>
    <t>89.1 dB(A)</t>
  </si>
  <si>
    <t>1.732 s</t>
  </si>
  <si>
    <t>91.7 dB(A)</t>
  </si>
  <si>
    <t>64.3 dB(A)</t>
  </si>
  <si>
    <t>81.6 dB(A)</t>
  </si>
  <si>
    <t>24.0 dB</t>
  </si>
  <si>
    <t>alessandro.motta@studenti.unipr.it</t>
  </si>
  <si>
    <t>Motta Alessandro</t>
  </si>
  <si>
    <t>80.6 dB(A)</t>
  </si>
  <si>
    <t>86.9 dB(A)</t>
  </si>
  <si>
    <t>1.863 s</t>
  </si>
  <si>
    <t>96.7 dB(A)</t>
  </si>
  <si>
    <t>67.8 dB(A)</t>
  </si>
  <si>
    <t>83.5 dB</t>
  </si>
  <si>
    <t>23.5 dB</t>
  </si>
  <si>
    <t>9 dB</t>
  </si>
  <si>
    <t>170.7 ms</t>
  </si>
  <si>
    <t>samuele.palla@studenti.unipr.it</t>
  </si>
  <si>
    <t>samuele palla</t>
  </si>
  <si>
    <t>80.3 dB(A)</t>
  </si>
  <si>
    <t>1.76953 s</t>
  </si>
  <si>
    <t>65.3 dB(A)</t>
  </si>
  <si>
    <t>82.9 dB</t>
  </si>
  <si>
    <t>4 dB</t>
  </si>
  <si>
    <t>vincenzo.cafforio@studenti.unipr.it</t>
  </si>
  <si>
    <t>Cafforio Vincenzo</t>
  </si>
  <si>
    <t>85.2 dB(A)</t>
  </si>
  <si>
    <t>88.8 dB(A)</t>
  </si>
  <si>
    <t>2.0240 s</t>
  </si>
  <si>
    <t>66.4 dB(A)</t>
  </si>
  <si>
    <t>86.9 dB</t>
  </si>
  <si>
    <t>22.2 dB</t>
  </si>
  <si>
    <t>-2 dB</t>
  </si>
  <si>
    <t>alessandro.dattaro@studenti.unipr.it</t>
  </si>
  <si>
    <t>Dattaro Alessandro</t>
  </si>
  <si>
    <t>81.1 dB(A)</t>
  </si>
  <si>
    <t>87 dB(A)</t>
  </si>
  <si>
    <t>1.87 s</t>
  </si>
  <si>
    <t>88.7 dB(A)</t>
  </si>
  <si>
    <t>63.8 dB(A)</t>
  </si>
  <si>
    <t>82.2 dB</t>
  </si>
  <si>
    <t>21.7 dB</t>
  </si>
  <si>
    <t>0 dB</t>
  </si>
  <si>
    <t>0.67 ms</t>
  </si>
  <si>
    <t>maurizio.bertolotti@studenti.unipr.it</t>
  </si>
  <si>
    <t>Bertolotti Maurizio</t>
  </si>
  <si>
    <t>81.9 dB(A)</t>
  </si>
  <si>
    <t>86.9 dB(A)</t>
  </si>
  <si>
    <t>1.934 s</t>
  </si>
  <si>
    <t>66.6 dB(A)</t>
  </si>
  <si>
    <t>84.3 dB</t>
  </si>
  <si>
    <t>22.1 dB</t>
  </si>
  <si>
    <t>6.0 dB</t>
  </si>
  <si>
    <t>42.7 ms</t>
  </si>
  <si>
    <t>rebecca.leporati@studenti.unipr.it</t>
  </si>
  <si>
    <t>Leporati Rebecca</t>
  </si>
  <si>
    <t>88.4 dB</t>
  </si>
  <si>
    <t>70.6 dB</t>
  </si>
  <si>
    <t>21.5 dB</t>
  </si>
  <si>
    <t>tommaso.everardweldon@studenti.unipr.it</t>
  </si>
  <si>
    <t>Everard Weldon Tommaso</t>
  </si>
  <si>
    <t>81.9 dB(A)</t>
  </si>
  <si>
    <t>89.4 dB(A)</t>
  </si>
  <si>
    <t>2.20 s</t>
  </si>
  <si>
    <t>69.9 dB(A)</t>
  </si>
  <si>
    <t>91.5 dB</t>
  </si>
  <si>
    <t>0 dB</t>
  </si>
  <si>
    <t>120.7 ms</t>
  </si>
  <si>
    <t>nicola.diemmi@studenti.unipr.it</t>
  </si>
  <si>
    <t>Diemmi Nicola</t>
  </si>
  <si>
    <t>86.7 dB(A)</t>
  </si>
  <si>
    <t>88.1 dB(A)</t>
  </si>
  <si>
    <t>2.110 s</t>
  </si>
  <si>
    <t>68.5 dB(A)</t>
  </si>
  <si>
    <t>88.4 dB</t>
  </si>
  <si>
    <t>20.0 dB</t>
  </si>
  <si>
    <t>-2.0 dB</t>
  </si>
  <si>
    <t>5.3 ms</t>
  </si>
  <si>
    <t>alberto.tanara@studenti.unipr.it</t>
  </si>
  <si>
    <t>Tanara Alberto</t>
  </si>
  <si>
    <t>80.1 dB(A)</t>
  </si>
  <si>
    <t>87.4 dB(A)</t>
  </si>
  <si>
    <t>1.834 s</t>
  </si>
  <si>
    <t>88.7 dB(A)</t>
  </si>
  <si>
    <t>62.5 dB(A)</t>
  </si>
  <si>
    <t>81.2 dB</t>
  </si>
  <si>
    <t>21.7 dB</t>
  </si>
  <si>
    <t>0.667 ms</t>
  </si>
  <si>
    <t>laura.ferrari16@studenti.unipr.it</t>
  </si>
  <si>
    <t>Laura Ferrari</t>
  </si>
  <si>
    <t>86.4 dB(A)</t>
  </si>
  <si>
    <t>88.3 dB(A)</t>
  </si>
  <si>
    <t>2.21 s</t>
  </si>
  <si>
    <t>95.6 dB(A)</t>
  </si>
  <si>
    <t>70.4 dB(A)</t>
  </si>
  <si>
    <t>90.7 dB</t>
  </si>
  <si>
    <t>19.9 dB</t>
  </si>
  <si>
    <t>1 dB</t>
  </si>
  <si>
    <t>42.666 ms</t>
  </si>
  <si>
    <t>carolina.diblasi@studenti.unipr.it</t>
  </si>
  <si>
    <t>Diblasi Carolina</t>
  </si>
  <si>
    <t>79.8 dB(A)</t>
  </si>
  <si>
    <t>130.2 dB(A)</t>
  </si>
  <si>
    <t>1.802 s</t>
  </si>
  <si>
    <t>63.5 dB(A)</t>
  </si>
  <si>
    <t>81.7 dB</t>
  </si>
  <si>
    <t>30.5 dB</t>
  </si>
  <si>
    <t>3 dB</t>
  </si>
  <si>
    <t>2.667 ms</t>
  </si>
  <si>
    <t>pietro.zermani@studenti.unipr.it</t>
  </si>
  <si>
    <t>Zermani Pietro</t>
  </si>
  <si>
    <t>84.2 dB(A)</t>
  </si>
  <si>
    <t>86.2 dB(A)</t>
  </si>
  <si>
    <t>2.048 s</t>
  </si>
  <si>
    <t>66.7 dB(A)</t>
  </si>
  <si>
    <t>85.9 dB(A)</t>
  </si>
  <si>
    <t>20.3 dB</t>
  </si>
  <si>
    <t>2 dB</t>
  </si>
  <si>
    <t>10.667 ms</t>
  </si>
  <si>
    <t>mohamad.hamze@studenti.unipr.it</t>
  </si>
  <si>
    <t>Mohamad hamze</t>
  </si>
  <si>
    <t>88.1 dB(A)</t>
  </si>
  <si>
    <t>90.5 dB(A)</t>
  </si>
  <si>
    <t>2.102 s</t>
  </si>
  <si>
    <t>94.7 dB(A)</t>
  </si>
  <si>
    <t>69.7 dB(A)</t>
  </si>
  <si>
    <t>90.9 dB</t>
  </si>
  <si>
    <t>23.6 dB</t>
  </si>
  <si>
    <t>-1 dB</t>
  </si>
  <si>
    <t>42.66 ms</t>
  </si>
  <si>
    <t>marco.bassoli@studenti.unipr.it</t>
  </si>
  <si>
    <t>Bassoli Marco</t>
  </si>
  <si>
    <t>90.7 dB(A)</t>
  </si>
  <si>
    <t>90.0 dB(A)</t>
  </si>
  <si>
    <t>2.3 s</t>
  </si>
  <si>
    <t>88.7 dB(A)</t>
  </si>
  <si>
    <t>71.1 dB(A)</t>
  </si>
  <si>
    <t>90.4 dB</t>
  </si>
  <si>
    <t>-7.0 dB</t>
  </si>
  <si>
    <t>0.667 ms</t>
  </si>
  <si>
    <t>alessio.gianno@studenti.unipr.it</t>
  </si>
  <si>
    <t>Gianno Alessio</t>
  </si>
  <si>
    <t>88.9 dB(A)</t>
  </si>
  <si>
    <t>34.1 dB(A)</t>
  </si>
  <si>
    <t>2.314 s</t>
  </si>
  <si>
    <t>91.7 dB(A)</t>
  </si>
  <si>
    <t>69.3 dB(A)</t>
  </si>
  <si>
    <t>89.4 dB</t>
  </si>
  <si>
    <t>15.5 dB</t>
  </si>
  <si>
    <t>-2 dB</t>
  </si>
  <si>
    <t>10.67 ms</t>
  </si>
  <si>
    <t>riccardo.fiori1@studenti.unipr.it</t>
  </si>
  <si>
    <t>Fiori Riccardo</t>
  </si>
  <si>
    <t>88.8 dB(A)</t>
  </si>
  <si>
    <t>87.7 dB(A)</t>
  </si>
  <si>
    <t>2.312 s</t>
  </si>
  <si>
    <t>90.7 dB(A)</t>
  </si>
  <si>
    <t>69.8 dB(A)</t>
  </si>
  <si>
    <t>89.1 dB(A)</t>
  </si>
  <si>
    <t>15.3 dB</t>
  </si>
  <si>
    <t>-3 dB</t>
  </si>
  <si>
    <t>2.6667 ms</t>
  </si>
  <si>
    <t>annalisa.marciano@studenti.unipr.it</t>
  </si>
  <si>
    <t>Marciano Annalisa</t>
  </si>
  <si>
    <t>84.5 dB(A)</t>
  </si>
  <si>
    <t>133.3 dB(A)</t>
  </si>
  <si>
    <t>2.079 s</t>
  </si>
  <si>
    <t>65.2 dB(A)</t>
  </si>
  <si>
    <t>84.8 dB</t>
  </si>
  <si>
    <t>28.5 dB</t>
  </si>
  <si>
    <t>-1.9 dB</t>
  </si>
  <si>
    <t>0.666 ms</t>
  </si>
  <si>
    <t>alessandro.rodino@studenti.unipr.it</t>
  </si>
  <si>
    <t>Rodinò Alessandro</t>
  </si>
  <si>
    <t>83.3 dB(A)</t>
  </si>
  <si>
    <t>87.2 dB(A)</t>
  </si>
  <si>
    <t>2.064 s</t>
  </si>
  <si>
    <t>92.7 dB(A)</t>
  </si>
  <si>
    <t>65.4 dB(A)</t>
  </si>
  <si>
    <t>84.4 dB</t>
  </si>
  <si>
    <t>19 dB</t>
  </si>
  <si>
    <t>4 dB</t>
  </si>
  <si>
    <t>10.7 ms</t>
  </si>
  <si>
    <t>cristina.gazzi@studenti.unipr.it</t>
  </si>
  <si>
    <t>Gazzi Cristina</t>
  </si>
  <si>
    <t>90.0 dB(A)</t>
  </si>
  <si>
    <t>88.0 dB(A)</t>
  </si>
  <si>
    <t>2.361 s</t>
  </si>
  <si>
    <t>92.7 dB(A)</t>
  </si>
  <si>
    <t>70.9 dB(A)</t>
  </si>
  <si>
    <t>90.7 dB</t>
  </si>
  <si>
    <t>17.4 dB</t>
  </si>
  <si>
    <t>-2 dB</t>
  </si>
  <si>
    <t>10.67 ms</t>
  </si>
  <si>
    <t>alessio.tornati@studenti.unipr.it</t>
  </si>
  <si>
    <t>Tornati Alessio</t>
  </si>
  <si>
    <t>87.7 dB(A)</t>
  </si>
  <si>
    <t>88.0 dB(A)</t>
  </si>
  <si>
    <t>2.290 s</t>
  </si>
  <si>
    <t>91.7 dB(A)</t>
  </si>
  <si>
    <t>68.0 dB(A)</t>
  </si>
  <si>
    <t>87.7 dB</t>
  </si>
  <si>
    <t>14.4 dB</t>
  </si>
  <si>
    <t>0 dB</t>
  </si>
  <si>
    <t>8.33 ms</t>
  </si>
  <si>
    <t>jacopo.bacchiani@studenti.unipr.it</t>
  </si>
  <si>
    <t>Bacchiani Jacopo</t>
  </si>
  <si>
    <t>85 dB(A)</t>
  </si>
  <si>
    <t>87.8 dB(A)</t>
  </si>
  <si>
    <t>2.125 s</t>
  </si>
  <si>
    <t>87.7 dB(A)</t>
  </si>
  <si>
    <t>64.9 dB(A)</t>
  </si>
  <si>
    <t>84.7 dB</t>
  </si>
  <si>
    <t>17.9 dB</t>
  </si>
  <si>
    <t>-3 dB</t>
  </si>
  <si>
    <t>0.333 ms</t>
  </si>
  <si>
    <t>mattia.morini1@studenti.unipr.it</t>
  </si>
  <si>
    <t>Morini Mattia</t>
  </si>
  <si>
    <t>86.2 dB(A)</t>
  </si>
  <si>
    <t>88.3 dB(A)</t>
  </si>
  <si>
    <t>2.061 s</t>
  </si>
  <si>
    <t>90.7 dB(A)</t>
  </si>
  <si>
    <t>68.1 dB(A)</t>
  </si>
  <si>
    <t>87.9 dB</t>
  </si>
  <si>
    <t>22.2 dB</t>
  </si>
  <si>
    <t>-3 dB</t>
  </si>
  <si>
    <t>2.67 ms</t>
  </si>
  <si>
    <t>tommaso.ferrari5@studenti.unipr.it</t>
  </si>
  <si>
    <t>Ferrari Tommaso</t>
  </si>
  <si>
    <t>87.5 dB(A)</t>
  </si>
  <si>
    <t>88 dB(A)</t>
  </si>
  <si>
    <t>2.273 s</t>
  </si>
  <si>
    <t>87.7 dB(A)</t>
  </si>
  <si>
    <t>67.7 dB(A)</t>
  </si>
  <si>
    <t>86.2 dB</t>
  </si>
  <si>
    <t>13.5 dB</t>
  </si>
  <si>
    <t>-4 dB</t>
  </si>
  <si>
    <t>0.333 ms</t>
  </si>
  <si>
    <t>simone.fontana@studenti.unipr.it</t>
  </si>
  <si>
    <t>Fontana Simone</t>
  </si>
  <si>
    <t>80.2 dB(A)</t>
  </si>
  <si>
    <t>86.8 dB(A)</t>
  </si>
  <si>
    <t>1.8 s</t>
  </si>
  <si>
    <t>91.6 dB(A)</t>
  </si>
  <si>
    <t>64.3 dB(A)</t>
  </si>
  <si>
    <t>82.2 dB</t>
  </si>
  <si>
    <t>22.4 dB</t>
  </si>
  <si>
    <t>4 dB</t>
  </si>
  <si>
    <t>5.333 ms</t>
  </si>
  <si>
    <t>graziamaria.interdonato@studenti.unipr.it</t>
  </si>
  <si>
    <t>Interdonato Graziamaria</t>
  </si>
  <si>
    <t>81.4 dB(A)</t>
  </si>
  <si>
    <t>132.0 dB(A)</t>
  </si>
  <si>
    <t>1.889 s</t>
  </si>
  <si>
    <t>66.0 dB(A)</t>
  </si>
  <si>
    <t>83.8 dB</t>
  </si>
  <si>
    <t>30.3 dB</t>
  </si>
  <si>
    <t>5 dB</t>
  </si>
  <si>
    <t>21.333 ms</t>
  </si>
  <si>
    <t>enriko.shehi@studenti.unipr.it</t>
  </si>
  <si>
    <t>Shehi Enriko</t>
  </si>
  <si>
    <t>90.3 dB(A)</t>
  </si>
  <si>
    <t>88.3 dB(A)</t>
  </si>
  <si>
    <t>2.3491 s</t>
  </si>
  <si>
    <t>93.7 dB(A)</t>
  </si>
  <si>
    <t>70.9 dB(A)</t>
  </si>
  <si>
    <t>91.7 dB</t>
  </si>
  <si>
    <t>19.3 dB</t>
  </si>
  <si>
    <t>-2 dB</t>
  </si>
  <si>
    <t>21.3333 ms</t>
  </si>
  <si>
    <t>mohamad.bellialsoufi@studenti.unipr.it</t>
  </si>
  <si>
    <t>Mohamad belli al soufi</t>
  </si>
  <si>
    <t>87.5 dB(A)</t>
  </si>
  <si>
    <t>90.7 dB(A)</t>
  </si>
  <si>
    <t>2.048 s</t>
  </si>
  <si>
    <t>91.68 dB(A)</t>
  </si>
  <si>
    <t>68.4 dB(A)</t>
  </si>
  <si>
    <t>89.8 dB</t>
  </si>
  <si>
    <t>23.51 dB</t>
  </si>
  <si>
    <t>-4 dB</t>
  </si>
  <si>
    <t>5.33 ms</t>
  </si>
  <si>
    <t>nicolo.lacava@studenti.unipr.it</t>
  </si>
  <si>
    <t>Lacava Nicolò</t>
  </si>
  <si>
    <t>82.5 dB(A)</t>
  </si>
  <si>
    <t>87 dB(A)</t>
  </si>
  <si>
    <t>2.0409 s</t>
  </si>
  <si>
    <t>96.7 dB(A)</t>
  </si>
  <si>
    <t>67.4 dB(A)</t>
  </si>
  <si>
    <t>84.5 dB</t>
  </si>
  <si>
    <t>19.9 dB</t>
  </si>
  <si>
    <t>9 dB</t>
  </si>
  <si>
    <t>170.7 ms</t>
  </si>
  <si>
    <t>giovanni.buccigrossi@studenti.unipr.it</t>
  </si>
  <si>
    <t>Buccigrossi Giovanni</t>
  </si>
  <si>
    <t>81.32 dB(A)</t>
  </si>
  <si>
    <t>87.10  dB(A)</t>
  </si>
  <si>
    <t>1.884 s</t>
  </si>
  <si>
    <t>92.68 dB(A)</t>
  </si>
  <si>
    <t>65.44 dB(A)</t>
  </si>
  <si>
    <t>83.52 dB</t>
  </si>
  <si>
    <t>10.66 ms</t>
  </si>
  <si>
    <t>alessandro.faraboli@studenti.unipr.it</t>
  </si>
  <si>
    <t>Faraboli Alessandro</t>
  </si>
  <si>
    <t>81.4 dB(A)</t>
  </si>
  <si>
    <t>87.9 dB(A)</t>
  </si>
  <si>
    <t>1.892 s</t>
  </si>
  <si>
    <t>94.7 dB(A)</t>
  </si>
  <si>
    <t>66.7 dB(A)</t>
  </si>
  <si>
    <t>84.1 dB</t>
  </si>
  <si>
    <t>23.1 dB</t>
  </si>
  <si>
    <t>6.0 dB</t>
  </si>
  <si>
    <t>42.7 ms</t>
  </si>
  <si>
    <t>alessandro.mazzoli@studenti.unipr.it</t>
  </si>
  <si>
    <t>Mazzoli Alessandro</t>
  </si>
  <si>
    <t>84.0 dB(A)</t>
  </si>
  <si>
    <t>89.6 dB</t>
  </si>
  <si>
    <t>2.14 s</t>
  </si>
  <si>
    <t>66.6 dB</t>
  </si>
  <si>
    <t>85.0 dB</t>
  </si>
  <si>
    <t>15.4 dB</t>
  </si>
  <si>
    <t>9.0 dB</t>
  </si>
  <si>
    <t>170.67 ms</t>
  </si>
  <si>
    <t>francesco.bersella@studenti.unipr.it</t>
  </si>
  <si>
    <t>Bersella Francesco</t>
  </si>
  <si>
    <t>87.6 dB(A)</t>
  </si>
  <si>
    <t>88.6 dB</t>
  </si>
  <si>
    <t>2.12 s</t>
  </si>
  <si>
    <t>70.5 dB</t>
  </si>
  <si>
    <t>90.5 dB</t>
  </si>
  <si>
    <t>21.6 dB</t>
  </si>
  <si>
    <t>2.0 dB</t>
  </si>
  <si>
    <t>170.67 ms</t>
  </si>
  <si>
    <t>antonio.panariello@studenti.unipr.it</t>
  </si>
  <si>
    <t>Panariello Antonio</t>
  </si>
  <si>
    <t>83.1 dB(A)</t>
  </si>
  <si>
    <t>88.3 dB(A)</t>
  </si>
  <si>
    <t>1.947 s</t>
  </si>
  <si>
    <t>89.7 db(A)</t>
  </si>
  <si>
    <t>64.8 dB(A)</t>
  </si>
  <si>
    <t>84.5 dB</t>
  </si>
  <si>
    <t>22 dB</t>
  </si>
  <si>
    <t>-1 dB</t>
  </si>
  <si>
    <t>1.33 ms</t>
  </si>
  <si>
    <t>laura.ferrari10@studenti.unipr.it</t>
  </si>
  <si>
    <t>Ferrari Laura</t>
  </si>
  <si>
    <t>86.6 dB(A)</t>
  </si>
  <si>
    <t>89.8 dB(A)</t>
  </si>
  <si>
    <t>2.0 s</t>
  </si>
  <si>
    <t>89.7 dB(A)</t>
  </si>
  <si>
    <t>67.2 dB(A)</t>
  </si>
  <si>
    <t>87.8 dB</t>
  </si>
  <si>
    <t>-4.0 dB</t>
  </si>
  <si>
    <t>1.333 ms</t>
  </si>
  <si>
    <t>nicholas.rizzelli@studenti.unipr.it</t>
  </si>
  <si>
    <t>Rizzelli Nicholas</t>
  </si>
  <si>
    <t>82.3 dB(A)</t>
  </si>
  <si>
    <t>87.4 dB(A)</t>
  </si>
  <si>
    <t>1.922 s</t>
  </si>
  <si>
    <t>92.7 dB(A)</t>
  </si>
  <si>
    <t>65.9 dB(A)</t>
  </si>
  <si>
    <t>84.5 dB</t>
  </si>
  <si>
    <t>22.7 dB</t>
  </si>
  <si>
    <t>3.0 dB</t>
  </si>
  <si>
    <t>10.7 ms</t>
  </si>
  <si>
    <t>simone.dallasta1@studenti.unipr.it</t>
  </si>
  <si>
    <t>Dall'Asta Simone</t>
  </si>
  <si>
    <t>84.0 dB(A)</t>
  </si>
  <si>
    <t>90.3 dB(A)</t>
  </si>
  <si>
    <t>1.8 s</t>
  </si>
  <si>
    <t>87.7 dB(A)</t>
  </si>
  <si>
    <t>65.1 dB(A)</t>
  </si>
  <si>
    <t>85.2 dB</t>
  </si>
  <si>
    <t>-5.0 dB</t>
  </si>
  <si>
    <t>0.333 ms</t>
  </si>
  <si>
    <t>dimitri.simendjouomo@studenti.unipr.it</t>
  </si>
  <si>
    <t>Dimitri SIME NDJOUOMO</t>
  </si>
  <si>
    <t>87.65 dB(A)</t>
  </si>
  <si>
    <t>86.69 dB (A)</t>
  </si>
  <si>
    <t>2.05 s</t>
  </si>
  <si>
    <t>68.379 dB (A)</t>
  </si>
  <si>
    <t>90.4033 dB</t>
  </si>
  <si>
    <t>23.9602 dB</t>
  </si>
  <si>
    <t>-2 dB</t>
  </si>
  <si>
    <t>endri.hoxhaj@studenti.unipr.it</t>
  </si>
  <si>
    <t>Hoxhaj Florian</t>
  </si>
  <si>
    <t>88.5 dB(A)</t>
  </si>
  <si>
    <t>2.152 s</t>
  </si>
  <si>
    <t>72.9 dB(A)</t>
  </si>
  <si>
    <t>91.3 dB</t>
  </si>
  <si>
    <t>23.3 dB</t>
  </si>
  <si>
    <t>0 dB</t>
  </si>
  <si>
    <t>francesco.rosi2@studenti.unipr.it</t>
  </si>
  <si>
    <t>Rosi Francesco</t>
  </si>
  <si>
    <t>88.5 dB(A)</t>
  </si>
  <si>
    <t>90.4 dB(A)</t>
  </si>
  <si>
    <t>2.152 s</t>
  </si>
  <si>
    <t>95.7 dB(A)</t>
  </si>
  <si>
    <t>70.5 dB(A)</t>
  </si>
  <si>
    <t>91.3 dB</t>
  </si>
  <si>
    <t>21.1 dB</t>
  </si>
  <si>
    <t>0 dB</t>
  </si>
  <si>
    <t>85.333 ms</t>
  </si>
  <si>
    <t>tomaso.fontanini@studenti.unipr.it</t>
  </si>
  <si>
    <t>Fontanini Tomaso</t>
  </si>
  <si>
    <t>91.9 db(A)</t>
  </si>
  <si>
    <t>90.2 dB(A)</t>
  </si>
  <si>
    <t>2.439 s</t>
  </si>
  <si>
    <t>91.7 dB(A)</t>
  </si>
  <si>
    <t>72.5 dB(A)</t>
  </si>
  <si>
    <t>92.4 dB</t>
  </si>
  <si>
    <t>14.9 dB</t>
  </si>
  <si>
    <t>-5 dB</t>
  </si>
  <si>
    <t>5.333 ms</t>
  </si>
  <si>
    <t>daniela.matalone@studenti.unipr.it</t>
  </si>
  <si>
    <t>DANIELA MATALONE</t>
  </si>
  <si>
    <t>82.8 dB(A)</t>
  </si>
  <si>
    <t>86.5 dB(A)</t>
  </si>
  <si>
    <t>2.020 s</t>
  </si>
  <si>
    <t>93.7 dB(A)</t>
  </si>
  <si>
    <t>66.0 dB(A)</t>
  </si>
  <si>
    <t>84.5 dB</t>
  </si>
  <si>
    <t>20.5 dB</t>
  </si>
  <si>
    <t>5.0 dB</t>
  </si>
  <si>
    <t>21.3 ms</t>
  </si>
  <si>
    <t>francesco.sgnaolin@studenti.unipr.it</t>
  </si>
  <si>
    <t>Sgnaolin Francesco</t>
  </si>
  <si>
    <t>83.4 dB(A)</t>
  </si>
  <si>
    <t>88.1 dB(A)</t>
  </si>
  <si>
    <t>1.928 s</t>
  </si>
  <si>
    <t>67 dB(A)</t>
  </si>
  <si>
    <t>85 dB(A)</t>
  </si>
  <si>
    <t>22.4 dB</t>
  </si>
  <si>
    <t>5 dB</t>
  </si>
  <si>
    <t>42.6666 ms</t>
  </si>
  <si>
    <t>simone.berardozzi@studenti.unipr.it</t>
  </si>
  <si>
    <t>Berardozzi Simone</t>
  </si>
  <si>
    <t>81.6 dB(A)</t>
  </si>
  <si>
    <t>1.9156 s</t>
  </si>
  <si>
    <t>63.4 dB(A)</t>
  </si>
  <si>
    <t>emanuele.palo@studenti.unipr.it</t>
  </si>
  <si>
    <t>Palo Emanuele</t>
  </si>
  <si>
    <t>90.3 dB(A)</t>
  </si>
  <si>
    <t>89.1 dB(A)</t>
  </si>
  <si>
    <t>2.345 s</t>
  </si>
  <si>
    <t>92.7 dB(A)</t>
  </si>
  <si>
    <t>69.9 dB(A)</t>
  </si>
  <si>
    <t>91.4 dB</t>
  </si>
  <si>
    <t>19.1 dB</t>
  </si>
  <si>
    <t>-3.0 dB</t>
  </si>
  <si>
    <t>10.7 ms</t>
  </si>
  <si>
    <t>andrea.sfulcini@studenti.unipr.it</t>
  </si>
  <si>
    <t>Sfulcini Andrea</t>
  </si>
  <si>
    <t>86.4 dB(A)</t>
  </si>
  <si>
    <t>97.5 dB(A)</t>
  </si>
  <si>
    <t>2.1 s</t>
  </si>
  <si>
    <t>94.7 dB(A)</t>
  </si>
  <si>
    <t>68.5 dB(A)</t>
  </si>
  <si>
    <t>81.1 dB</t>
  </si>
  <si>
    <t>23.1 dB</t>
  </si>
  <si>
    <t>1.0 dB</t>
  </si>
  <si>
    <t>42.7 ms</t>
  </si>
  <si>
    <t>pietro.bardiani@studenti.unipr.it</t>
  </si>
  <si>
    <t>Bardiani Pietro</t>
  </si>
  <si>
    <t>83.3 dB(A)</t>
  </si>
  <si>
    <t>88.4 dB(A)</t>
  </si>
  <si>
    <t>1.9 s</t>
  </si>
  <si>
    <t>87.7 dB(A)</t>
  </si>
  <si>
    <t>63.9 dB(A)</t>
  </si>
  <si>
    <t>84.4 dB</t>
  </si>
  <si>
    <t>22.5 dB</t>
  </si>
  <si>
    <t>-4 dB</t>
  </si>
  <si>
    <t>0.3 ms</t>
  </si>
  <si>
    <t>giuseppe.gabriele@studenti.unipr.it</t>
  </si>
  <si>
    <t>Gabriele Giuseppe</t>
  </si>
  <si>
    <t>84 dB(A)</t>
  </si>
  <si>
    <t>87.2 dB(A)</t>
  </si>
  <si>
    <t>2.119 s</t>
  </si>
  <si>
    <t>93.7 dB(A)</t>
  </si>
  <si>
    <t>66 dB(A)</t>
  </si>
  <si>
    <t>84.9 dB</t>
  </si>
  <si>
    <t>17.6 dB</t>
  </si>
  <si>
    <t>5 dB</t>
  </si>
  <si>
    <t>21.3 ms</t>
  </si>
  <si>
    <t>luca.pettenati@studenti.unipr.it</t>
  </si>
  <si>
    <t>Pettenati Luca</t>
  </si>
  <si>
    <t>81.7 dB(A)</t>
  </si>
  <si>
    <t>86.9 dB(A)</t>
  </si>
  <si>
    <t>1.927 s</t>
  </si>
  <si>
    <t>92.4 dB(A)</t>
  </si>
  <si>
    <t>65.5 dB(A)</t>
  </si>
  <si>
    <t>83.7 dB(A)</t>
  </si>
  <si>
    <t>4 dB</t>
  </si>
  <si>
    <t>10.7 ms</t>
  </si>
  <si>
    <t>nicola.ciati@studenti.unipr.it</t>
  </si>
  <si>
    <t>Ciati Nicola</t>
  </si>
  <si>
    <t>87.0 dB(A)</t>
  </si>
  <si>
    <t>88.8 dB(A)</t>
  </si>
  <si>
    <t>2.063 s</t>
  </si>
  <si>
    <t>93.7 dB(A)</t>
  </si>
  <si>
    <t>69.3 dB(A)</t>
  </si>
  <si>
    <t>89.6 dB</t>
  </si>
  <si>
    <t>21.5 dB</t>
  </si>
  <si>
    <t>-1 dB</t>
  </si>
  <si>
    <t>42.67 ms</t>
  </si>
  <si>
    <t>martina.quattrocchi@studenti.unipr.it</t>
  </si>
  <si>
    <t>Quattrocchi Martina</t>
  </si>
  <si>
    <t>82.6 dB(A)</t>
  </si>
  <si>
    <t>87.1 dB(A)</t>
  </si>
  <si>
    <t>1.956 s</t>
  </si>
  <si>
    <t>90.7 dB(A)</t>
  </si>
  <si>
    <t>65.3 dB(A)</t>
  </si>
  <si>
    <t>84.1 dB</t>
  </si>
  <si>
    <t>20.9 dB</t>
  </si>
  <si>
    <t>1 dB</t>
  </si>
  <si>
    <t>2.6666 ms</t>
  </si>
  <si>
    <t>daniele.farina1@studenti.unipr.it</t>
  </si>
  <si>
    <t>Farina Daniele</t>
  </si>
  <si>
    <t>87.0 dB(A)</t>
  </si>
  <si>
    <t>89.0 dB(A)</t>
  </si>
  <si>
    <t>2.242 s</t>
  </si>
  <si>
    <t>93.7 dB(A)</t>
  </si>
  <si>
    <t>68.2 dB(A)</t>
  </si>
  <si>
    <t>88.0 dB</t>
  </si>
  <si>
    <t>16.4 dB</t>
  </si>
  <si>
    <t>2.0 dB</t>
  </si>
  <si>
    <t>21.333 ms</t>
  </si>
  <si>
    <t>umberto.delvecchio@studenti.unipr.it</t>
  </si>
  <si>
    <t>Del Vecchio Umberto</t>
  </si>
  <si>
    <t>80.1 dB</t>
  </si>
  <si>
    <t>86.7 dB</t>
  </si>
  <si>
    <t>1.837 s</t>
  </si>
  <si>
    <t>63.1 dB(A)</t>
  </si>
  <si>
    <t>81.5 dB</t>
  </si>
  <si>
    <t>16.5 dB</t>
  </si>
  <si>
    <t>2 dB</t>
  </si>
  <si>
    <t>lorenzo.gaudio@studenti.unipr.it</t>
  </si>
  <si>
    <t>Gaudio Lorenzo</t>
  </si>
  <si>
    <t>82.5 dB(A)</t>
  </si>
  <si>
    <t>86.4 dB(A)</t>
  </si>
  <si>
    <t>2.001 s</t>
  </si>
  <si>
    <t>88.7 dB(A)</t>
  </si>
  <si>
    <t>63.8 dB(A)</t>
  </si>
  <si>
    <t>82.8 dB</t>
  </si>
  <si>
    <t>19 dB</t>
  </si>
  <si>
    <t>0 dB</t>
  </si>
  <si>
    <t>0.667 ms</t>
  </si>
  <si>
    <t>domenico.ceraudo@studenti.unipr.it</t>
  </si>
  <si>
    <t>Ceraudo Domenico</t>
  </si>
  <si>
    <t>91.3 dB(A)</t>
  </si>
  <si>
    <t>88.4 dB(A)</t>
  </si>
  <si>
    <t>2.40117 s</t>
  </si>
  <si>
    <t>72.6 dB(A)</t>
  </si>
  <si>
    <t>93.5 dB</t>
  </si>
  <si>
    <t>16.9 dB</t>
  </si>
  <si>
    <t>0 dB</t>
  </si>
  <si>
    <t>antonio.boccia@studenti.unipr.it</t>
  </si>
  <si>
    <t>Boccia Antonio</t>
  </si>
  <si>
    <t>91.5 dB(A)</t>
  </si>
  <si>
    <t>88.5 dB(A)</t>
  </si>
  <si>
    <t>2.397 s</t>
  </si>
  <si>
    <t>95.7 dB(A)</t>
  </si>
  <si>
    <t>71.8 dB(A)</t>
  </si>
  <si>
    <t>93.2 dB</t>
  </si>
  <si>
    <t>17.4 dB</t>
  </si>
  <si>
    <t>85.3333333333333 ms</t>
  </si>
  <si>
    <t>fabio.mazzara@studenti.unipr.it</t>
  </si>
  <si>
    <t>Mazzara Fabio</t>
  </si>
  <si>
    <t>84.9 dB(A)</t>
  </si>
  <si>
    <t>87. dB(A)</t>
  </si>
  <si>
    <t>2.152 s</t>
  </si>
  <si>
    <t>91.7 dB(A)</t>
  </si>
  <si>
    <t>66.0 dB(A)</t>
  </si>
  <si>
    <t>85.4 dB</t>
  </si>
  <si>
    <t>17.2 dB</t>
  </si>
  <si>
    <t>2.0 dB</t>
  </si>
  <si>
    <t>5.3 ms</t>
  </si>
  <si>
    <t>matteo.delsoldato@studenti.unipr.it</t>
  </si>
  <si>
    <t>Delsoldato Matteo</t>
  </si>
  <si>
    <t>81.5 dB(A)</t>
  </si>
  <si>
    <t>86.8 dB(A)</t>
  </si>
  <si>
    <t>1.912 s</t>
  </si>
  <si>
    <t>64.0 dB(A)</t>
  </si>
  <si>
    <t>82.4 dB</t>
  </si>
  <si>
    <t>20.7 dB</t>
  </si>
  <si>
    <t>0 dB</t>
  </si>
  <si>
    <t>0.7 ms</t>
  </si>
  <si>
    <t>mirco.campanini@studenti.unipr.it</t>
  </si>
  <si>
    <t>Campanini Mirco</t>
  </si>
  <si>
    <t>82.7 dB(A)</t>
  </si>
  <si>
    <t>86.5 dB(A)</t>
  </si>
  <si>
    <t>2.013 s</t>
  </si>
  <si>
    <t>91.7 dB(A)</t>
  </si>
  <si>
    <t>65.2 dB(A)</t>
  </si>
  <si>
    <t>83.9 dB</t>
  </si>
  <si>
    <t>20.1 dB</t>
  </si>
  <si>
    <t>3 dB</t>
  </si>
  <si>
    <t>5.3 ms</t>
  </si>
  <si>
    <t>giovanni.zaccaria@studenti.unipr.it</t>
  </si>
  <si>
    <t>Zaccaria Giovanni</t>
  </si>
  <si>
    <t>87.74 dB(A)</t>
  </si>
  <si>
    <t>89.2 dB(A)</t>
  </si>
  <si>
    <t>2.15 s</t>
  </si>
  <si>
    <t>68 dB(A)</t>
  </si>
  <si>
    <t>89.73 dB</t>
  </si>
  <si>
    <t>22 dB</t>
  </si>
  <si>
    <t>-2 dB</t>
  </si>
  <si>
    <t>gianluigi.silvestri@studenti.unipr.it</t>
  </si>
  <si>
    <t>Silvestri Gianluigi</t>
  </si>
  <si>
    <t>84.1 dB(A)</t>
  </si>
  <si>
    <t>87.2 dB(A)</t>
  </si>
  <si>
    <t>2.123 s</t>
  </si>
  <si>
    <t>94.7 dB(A)</t>
  </si>
  <si>
    <t>66.4 dB(A)</t>
  </si>
  <si>
    <t>85.2 dB</t>
  </si>
  <si>
    <t>17.8 dB</t>
  </si>
  <si>
    <t>6 dB</t>
  </si>
  <si>
    <t>42.667 ms</t>
  </si>
  <si>
    <t>alessandro.caricati@studenti.unipr.it</t>
  </si>
  <si>
    <t>Caricati Alessandro</t>
  </si>
  <si>
    <t>89.8 dB(A)</t>
  </si>
  <si>
    <t>87.9 dB(A)</t>
  </si>
  <si>
    <t>2.34 s</t>
  </si>
  <si>
    <t>89.7 dB(A)</t>
  </si>
  <si>
    <t>70.1 dB(A)</t>
  </si>
  <si>
    <t>89.7 dB</t>
  </si>
  <si>
    <t>16.7 dB</t>
  </si>
  <si>
    <t>-5 dB</t>
  </si>
  <si>
    <t>1.333 ms</t>
  </si>
  <si>
    <t>chiara.ferrari23@studenti.unipr.it</t>
  </si>
  <si>
    <t>Ferrari Chiara</t>
  </si>
  <si>
    <t>88.9 dB(A)</t>
  </si>
  <si>
    <t>88.3 dB(A)</t>
  </si>
  <si>
    <t>2.219327362 s</t>
  </si>
  <si>
    <t>87.7 dB(A)</t>
  </si>
  <si>
    <t>70.2 dB(A)</t>
  </si>
  <si>
    <t>89.2 dB</t>
  </si>
  <si>
    <t>17.8 dB</t>
  </si>
  <si>
    <t>-8 dB</t>
  </si>
  <si>
    <t>0.3333 ms</t>
  </si>
  <si>
    <t>francesco.putamorsi@studenti.unipr.it</t>
  </si>
  <si>
    <t>Putamorsi Francesco</t>
  </si>
  <si>
    <t>81.3 dB(A)</t>
  </si>
  <si>
    <t>87.1 dB(A)</t>
  </si>
  <si>
    <t>1.885 s</t>
  </si>
  <si>
    <t>92.7 dB(A)</t>
  </si>
  <si>
    <t>65.4 dB(A)</t>
  </si>
  <si>
    <t>83.5 dB</t>
  </si>
  <si>
    <t>22.7 dB</t>
  </si>
  <si>
    <t>4 dB</t>
  </si>
  <si>
    <t>10.66 ms</t>
  </si>
  <si>
    <t>claudia.dellavalle@studenti.unipr.it</t>
  </si>
  <si>
    <t>della valle claudia</t>
  </si>
  <si>
    <t>87.7 dB(A)</t>
  </si>
  <si>
    <t>87.6 dB(A)</t>
  </si>
  <si>
    <t>2.19 s</t>
  </si>
  <si>
    <t>68.5 dB(A)</t>
  </si>
  <si>
    <t>89.2 dB(A)</t>
  </si>
  <si>
    <t>18.6 dB</t>
  </si>
  <si>
    <t>-1 dB</t>
  </si>
  <si>
    <t>10.6 ms</t>
  </si>
  <si>
    <t>vincenzo.delillo@studenti.unipr.it</t>
  </si>
  <si>
    <t>De Lillo Vincenzo</t>
  </si>
  <si>
    <t>90.4 dB(A)</t>
  </si>
  <si>
    <t>89.2 dB(A)</t>
  </si>
  <si>
    <t>2.353 s</t>
  </si>
  <si>
    <t>94.7 dB(A)</t>
  </si>
  <si>
    <t>70.4 dB(A)</t>
  </si>
  <si>
    <t>92.0 dB</t>
  </si>
  <si>
    <t>19.5 dB</t>
  </si>
  <si>
    <t>-1 dB</t>
  </si>
  <si>
    <t>42.7 ms</t>
  </si>
  <si>
    <t>giulia.dalo@studenti.unipr.it</t>
  </si>
  <si>
    <t>D'Alò Giulia</t>
  </si>
  <si>
    <t>82.1 dB(A)</t>
  </si>
  <si>
    <t>86.8 dB(A)</t>
  </si>
  <si>
    <t>2.0123 s</t>
  </si>
  <si>
    <t>86.8 dB(A)</t>
  </si>
  <si>
    <t>63.7 dB(A)</t>
  </si>
  <si>
    <t>82.4 dB</t>
  </si>
  <si>
    <t>18.4 dB</t>
  </si>
  <si>
    <t>2 dB</t>
  </si>
  <si>
    <t>1.3 ms</t>
  </si>
  <si>
    <t>luca.violi@studenti.unipr.it</t>
  </si>
  <si>
    <t>Violi Luca</t>
  </si>
  <si>
    <t>85.7 dB(A)</t>
  </si>
  <si>
    <t>87.4 dB(A)</t>
  </si>
  <si>
    <t>2.134 s</t>
  </si>
  <si>
    <t>92.4 dB(A)</t>
  </si>
  <si>
    <t>67.6 dB(A)</t>
  </si>
  <si>
    <t>87.2 dB</t>
  </si>
  <si>
    <t>19.1 dB</t>
  </si>
  <si>
    <t>1.0 dB</t>
  </si>
  <si>
    <t>10.7 ms</t>
  </si>
  <si>
    <t>gianluca.bisi@studenti.unipr.it</t>
  </si>
  <si>
    <t>Bisi Gianluca</t>
  </si>
  <si>
    <t>86.3 dB(A)</t>
  </si>
  <si>
    <t>89.1 dB(A)</t>
  </si>
  <si>
    <t>2.068 s</t>
  </si>
  <si>
    <t>92.4 dB(A)</t>
  </si>
  <si>
    <t>67.6 dB(A)</t>
  </si>
  <si>
    <t>88.5 dB</t>
  </si>
  <si>
    <t>20.9 dB</t>
  </si>
  <si>
    <t>-1.0 dB</t>
  </si>
  <si>
    <t>10.7 ms</t>
  </si>
  <si>
    <t>gabriele.carbognani@studenti.unipr.it</t>
  </si>
  <si>
    <t>Carbognani Gabriele</t>
  </si>
  <si>
    <t>81.8 dB(A)</t>
  </si>
  <si>
    <t>86.3 dB(A)</t>
  </si>
  <si>
    <t>1.989 ms</t>
  </si>
  <si>
    <t>66.6 dB(A)</t>
  </si>
  <si>
    <t>84.0 dB(A)</t>
  </si>
  <si>
    <t>1 dB</t>
  </si>
  <si>
    <t>8 dB</t>
  </si>
  <si>
    <t>85.3333 ms</t>
  </si>
  <si>
    <t>luca.cattani1@studenti.unipr.it</t>
  </si>
  <si>
    <t>CATTANI LUCA</t>
  </si>
  <si>
    <t>80.1 dB(A)</t>
  </si>
  <si>
    <t>85.5 dB(A)</t>
  </si>
  <si>
    <t>1.823 s</t>
  </si>
  <si>
    <t>96.7 dB(A)</t>
  </si>
  <si>
    <t>68.1 dB(A)</t>
  </si>
  <si>
    <t>83.3 dB</t>
  </si>
  <si>
    <t>24.1 dB</t>
  </si>
  <si>
    <t>9 dB</t>
  </si>
  <si>
    <t>170.7 ms</t>
  </si>
  <si>
    <t>nicola.pasini@studenti.unipr.it</t>
  </si>
  <si>
    <t>Pasini Nicola</t>
  </si>
  <si>
    <t>90.0 dB(A)</t>
  </si>
  <si>
    <t>89.6 dB</t>
  </si>
  <si>
    <t>2.24 s</t>
  </si>
  <si>
    <t>70.9 dB</t>
  </si>
  <si>
    <t>92.7 dB</t>
  </si>
  <si>
    <t>20.5 dB</t>
  </si>
  <si>
    <t>0.0 dB</t>
  </si>
  <si>
    <t>170.67 ms</t>
  </si>
  <si>
    <t>francesco.plizza@studenti.unipr.it</t>
  </si>
  <si>
    <t>Plizza Francesco</t>
  </si>
  <si>
    <t>88.6 dB(A)</t>
  </si>
  <si>
    <t>88.3 dB(A)</t>
  </si>
  <si>
    <t>2.328 s</t>
  </si>
  <si>
    <t>90.7 dB(A)</t>
  </si>
  <si>
    <t>68.7 dB(A)</t>
  </si>
  <si>
    <t>88.4 dB</t>
  </si>
  <si>
    <t>12.9 dB</t>
  </si>
  <si>
    <t>-2 dB</t>
  </si>
  <si>
    <t>5.333 ms</t>
  </si>
  <si>
    <t>angelica.meli@studenti.unipr.it</t>
  </si>
  <si>
    <t>81.4 dB(A)</t>
  </si>
  <si>
    <t>87.2 dB(A)</t>
  </si>
  <si>
    <t>1.892 s</t>
  </si>
  <si>
    <t>94.7 dB(A)</t>
  </si>
  <si>
    <t>66.6 dB(A)</t>
  </si>
  <si>
    <t>84.1 dB</t>
  </si>
  <si>
    <t>22.8 dB</t>
  </si>
  <si>
    <t>6 dB</t>
  </si>
  <si>
    <t>42.66 ms</t>
  </si>
  <si>
    <t>ludovico.maini@studenti.unipr.it</t>
  </si>
  <si>
    <t>MAINI LUDOVICO</t>
  </si>
  <si>
    <t>86.9 dB(A)</t>
  </si>
  <si>
    <t>88.2 dB(A)</t>
  </si>
  <si>
    <t>2.125 s</t>
  </si>
  <si>
    <t>69.6 dB(A)</t>
  </si>
  <si>
    <t>89.5 dB</t>
  </si>
  <si>
    <t>20.9 dB</t>
  </si>
  <si>
    <t>2 dB</t>
  </si>
  <si>
    <t>85.3 ms</t>
  </si>
  <si>
    <t>alessandro.basi3@studenti.unipr.it</t>
  </si>
  <si>
    <t>Basi Alessandro</t>
  </si>
  <si>
    <t>88 dB(A)</t>
  </si>
  <si>
    <t>87.5 dB(A)</t>
  </si>
  <si>
    <t>2.283163 s</t>
  </si>
  <si>
    <t>93.7 dB(A)</t>
  </si>
  <si>
    <t>69.2 dB(A)</t>
  </si>
  <si>
    <t>89 dB</t>
  </si>
  <si>
    <t>16.2 dB</t>
  </si>
  <si>
    <t>1 dB</t>
  </si>
  <si>
    <t>21.333333 ms</t>
  </si>
  <si>
    <t>jacopo.lauri@studenti.unipr.it</t>
  </si>
  <si>
    <t>Lauri Jacopo</t>
  </si>
  <si>
    <t>89.1 dB(A)</t>
  </si>
  <si>
    <t>89.7 dB(A)</t>
  </si>
  <si>
    <t>2.163 s</t>
  </si>
  <si>
    <t>68.9 dB(A)</t>
  </si>
  <si>
    <t>90.2 dB</t>
  </si>
  <si>
    <t>19.3 dB</t>
  </si>
  <si>
    <t>-8 dB</t>
  </si>
  <si>
    <t>0.7 ms</t>
  </si>
  <si>
    <t>pierpaolo.scarpino2@studenti.unipr.it</t>
  </si>
  <si>
    <t>Scarpino Pierpaolo</t>
  </si>
  <si>
    <t>88.4 dB(A)</t>
  </si>
  <si>
    <t>88.7 dB(A)</t>
  </si>
  <si>
    <t>2.145 s</t>
  </si>
  <si>
    <t>93.7 dB(A)</t>
  </si>
  <si>
    <t>69.2 dB(A)</t>
  </si>
  <si>
    <t>90.8 dB</t>
  </si>
  <si>
    <t>20.7 dB</t>
  </si>
  <si>
    <t>-2 dB</t>
  </si>
  <si>
    <t>21.33 ms</t>
  </si>
  <si>
    <t>andrea.alberici1@studenti.unipr.it</t>
  </si>
  <si>
    <t>Alberici Andrea</t>
  </si>
  <si>
    <t>83.5 dB(A)</t>
  </si>
  <si>
    <t>2.009 s</t>
  </si>
  <si>
    <t>64.4 dB(A)</t>
  </si>
  <si>
    <t>83.8 dB(A)</t>
  </si>
  <si>
    <t>18.7 dB</t>
  </si>
  <si>
    <t>-1 dB</t>
  </si>
  <si>
    <t>1.333 ms</t>
  </si>
  <si>
    <t>giovanni.formicola@studenti.unipr.it</t>
  </si>
  <si>
    <t>Formicola Giovanni</t>
  </si>
  <si>
    <t>88.4 dB(A)</t>
  </si>
  <si>
    <t>2.144795 s</t>
  </si>
  <si>
    <t>69.2 dB(A)</t>
  </si>
  <si>
    <t>90.8 dB(A)</t>
  </si>
  <si>
    <t>20.7 dB</t>
  </si>
  <si>
    <t>-2 dB</t>
  </si>
  <si>
    <t>42.667 ms</t>
  </si>
  <si>
    <t>francesco.alois@studenti.unipr.it</t>
  </si>
  <si>
    <t>Alois Francesco</t>
  </si>
  <si>
    <t>84.1 dB(A)</t>
  </si>
  <si>
    <t>87.5 dB(A)</t>
  </si>
  <si>
    <t>2.096 s</t>
  </si>
  <si>
    <t>65.1 dB(A)</t>
  </si>
  <si>
    <t>84.8 dB(A)</t>
  </si>
  <si>
    <t>18 dB</t>
  </si>
  <si>
    <t>1 dB</t>
  </si>
  <si>
    <t>2.6666 ms</t>
  </si>
  <si>
    <t>giovanniluca.marullo@studenti.unipr.it</t>
  </si>
  <si>
    <t>Marullo Giovanni Luca</t>
  </si>
  <si>
    <t>85.8 dB(A)</t>
  </si>
  <si>
    <t>2.213 s</t>
  </si>
  <si>
    <t>66.8 dB(A)</t>
  </si>
  <si>
    <t>86.2 dB(A)</t>
  </si>
  <si>
    <t>14.2 dB</t>
  </si>
  <si>
    <t>4 dB</t>
  </si>
  <si>
    <t>42.667 ms</t>
  </si>
  <si>
    <t>davide.pacitti@studenti.unipr.it</t>
  </si>
  <si>
    <t>Pacitti Davide</t>
  </si>
  <si>
    <t>89.9 dB(A)</t>
  </si>
  <si>
    <t>88.6 dB(A)</t>
  </si>
  <si>
    <t>2.386542 s</t>
  </si>
  <si>
    <t>70.1 dB(A)</t>
  </si>
  <si>
    <t>90.5 dB(A)</t>
  </si>
  <si>
    <t>13.5 dB</t>
  </si>
  <si>
    <t>1 dB</t>
  </si>
  <si>
    <t>42.667 ms</t>
  </si>
  <si>
    <t>antonio.dellarovere@studenti.unipr.it</t>
  </si>
  <si>
    <t>Della Rovere Antonio</t>
  </si>
  <si>
    <t>82.8 dB(A)</t>
  </si>
  <si>
    <t>85.9 dB(A)</t>
  </si>
  <si>
    <t>2.06 s</t>
  </si>
  <si>
    <t>89.7 dB(A)</t>
  </si>
  <si>
    <t>64 dB(A)</t>
  </si>
  <si>
    <t>82.7 dB(A)</t>
  </si>
  <si>
    <t>16.7 dB</t>
  </si>
  <si>
    <t>2 dB</t>
  </si>
  <si>
    <t>1.333 ms</t>
  </si>
  <si>
    <t>alice.marazzi@studenti.unipr.it</t>
  </si>
  <si>
    <t>Marazzi Alice</t>
  </si>
  <si>
    <t>82.0 dB(A)</t>
  </si>
  <si>
    <t>88.0 dB(A)</t>
  </si>
  <si>
    <t>1.9032 s</t>
  </si>
  <si>
    <t>87.7 dB(A)</t>
  </si>
  <si>
    <t>63.4 dB(A)</t>
  </si>
  <si>
    <t>82.7 dB</t>
  </si>
  <si>
    <t>20.8 dB</t>
  </si>
  <si>
    <t>-2.0 dB</t>
  </si>
  <si>
    <t>0.667 ms</t>
  </si>
  <si>
    <t>annalisa.upali@studenti.unipr.it</t>
  </si>
  <si>
    <t>Upali Annalisa</t>
  </si>
  <si>
    <t>81.3 dB(A)</t>
  </si>
  <si>
    <t>87.8 dB(A)</t>
  </si>
  <si>
    <t>1.885 s</t>
  </si>
  <si>
    <t>92.4 dB(A)</t>
  </si>
  <si>
    <t>65.3 dB(A)</t>
  </si>
  <si>
    <t>83.5 dB</t>
  </si>
  <si>
    <t>22.8 dB</t>
  </si>
  <si>
    <t>4.0 dB</t>
  </si>
  <si>
    <t>10.7 ms</t>
  </si>
  <si>
    <t>laura.sani@studenti.unipr.it</t>
  </si>
  <si>
    <t>Sani Laura</t>
  </si>
  <si>
    <t>80.7 dB(A)</t>
  </si>
  <si>
    <t>88.8 dB(A)</t>
  </si>
  <si>
    <t>1.830 s</t>
  </si>
  <si>
    <t>88.7 dB(A)</t>
  </si>
  <si>
    <t>63.5 dB(A)</t>
  </si>
  <si>
    <t>82.0 dB</t>
  </si>
  <si>
    <t>21.9 dB</t>
  </si>
  <si>
    <t>0 dB</t>
  </si>
  <si>
    <t>0.667 ms</t>
  </si>
  <si>
    <t>mattia.mei@studenti.unipr.it</t>
  </si>
  <si>
    <t>Mei Mattia</t>
  </si>
  <si>
    <t>89 dB(A)</t>
  </si>
  <si>
    <t>88.6 dB(A)</t>
  </si>
  <si>
    <t>2.324 s</t>
  </si>
  <si>
    <t>93.7 dB(A)</t>
  </si>
  <si>
    <t>69.7 dB(A)</t>
  </si>
  <si>
    <t>90 dB</t>
  </si>
  <si>
    <t>17.6 dB</t>
  </si>
  <si>
    <t>0 dB</t>
  </si>
  <si>
    <t>21.333 ms</t>
  </si>
  <si>
    <t>ehsan.kiani@studenti.unipr.it</t>
  </si>
  <si>
    <t>kiani ehsan]</t>
  </si>
  <si>
    <t>85.2 dB(A)</t>
  </si>
  <si>
    <t>90.5 dB(A)</t>
  </si>
  <si>
    <t>1.938 s</t>
  </si>
  <si>
    <t>67.6 dB(A)</t>
  </si>
  <si>
    <t>87.6 dB</t>
  </si>
  <si>
    <t>22.2 dB</t>
  </si>
  <si>
    <t>-2 dB</t>
  </si>
  <si>
    <t>10.7 ms</t>
  </si>
  <si>
    <t>andrea.spocci@studenti.unipr.it</t>
  </si>
  <si>
    <t>Spocci Andrea</t>
  </si>
  <si>
    <t>80.1 dB(A)</t>
  </si>
  <si>
    <t>88.8 dB(A)</t>
  </si>
  <si>
    <t>1.759 s</t>
  </si>
  <si>
    <t>63 dB(A)</t>
  </si>
  <si>
    <t>82 dB</t>
  </si>
  <si>
    <t>23.1 dB</t>
  </si>
  <si>
    <t>1 dB</t>
  </si>
  <si>
    <t>2.667 ms</t>
  </si>
  <si>
    <t>giuseppeomar.soloperto@studenti.unipr.it</t>
  </si>
  <si>
    <t>soloperto giuseppe omar</t>
  </si>
  <si>
    <t>89.5 dB(A)</t>
  </si>
  <si>
    <t>88.2 dB(A)</t>
  </si>
  <si>
    <t>2.274855 s</t>
  </si>
  <si>
    <t>88.7 dB(A)</t>
  </si>
  <si>
    <t>70.6 dB(A)</t>
  </si>
  <si>
    <t>89.8 dB</t>
  </si>
  <si>
    <t>19.3 dB</t>
  </si>
  <si>
    <t>- 7 dB</t>
  </si>
  <si>
    <t>0.7 ms</t>
  </si>
  <si>
    <t>anna.ravanetti@studenti.unipr.it</t>
  </si>
  <si>
    <t>Ravanetti Anna</t>
  </si>
  <si>
    <t>88.3 dB(A)</t>
  </si>
  <si>
    <t>88.2 dB(A)</t>
  </si>
  <si>
    <t>2.204 s</t>
  </si>
  <si>
    <t>93.7 dB(A)</t>
  </si>
  <si>
    <t>70 dB(A)</t>
  </si>
  <si>
    <t>90.2 dB</t>
  </si>
  <si>
    <t>19.5 dB</t>
  </si>
  <si>
    <t>-1 dB</t>
  </si>
  <si>
    <t>21.33 ms</t>
  </si>
  <si>
    <t>alessandro.pettenati@studenti.unipr.it</t>
  </si>
  <si>
    <t>Pettenati Alessandro</t>
  </si>
  <si>
    <t>88.8 dB(A)</t>
  </si>
  <si>
    <t>89 dB(A)</t>
  </si>
  <si>
    <t>2.259 s</t>
  </si>
  <si>
    <t>69.8 dB(A)</t>
  </si>
  <si>
    <t>90.7 dB</t>
  </si>
  <si>
    <t>0 dB</t>
  </si>
  <si>
    <t>85.333 ms</t>
  </si>
  <si>
    <t>helennathaly.fernandezleon@studenti.unipr.it</t>
  </si>
  <si>
    <t>Fernandez Leon Helen Nathaly</t>
  </si>
  <si>
    <t>88.9 dB(A)</t>
  </si>
  <si>
    <t>88.4 dB(A)</t>
  </si>
  <si>
    <t>2.3487 s</t>
  </si>
  <si>
    <t>95.7 dB(A)</t>
  </si>
  <si>
    <t>69.4 dB(A)</t>
  </si>
  <si>
    <t>89.8 dB</t>
  </si>
  <si>
    <t>13.9 dB</t>
  </si>
  <si>
    <t>3.0 dB</t>
  </si>
  <si>
    <t>170.6 ms</t>
  </si>
  <si>
    <t>serena.filippelli@studenti.unipr.it</t>
  </si>
  <si>
    <t>Filippelli Serena</t>
  </si>
  <si>
    <t>81.6 dB(A)</t>
  </si>
  <si>
    <t>87.2 dB(A)</t>
  </si>
  <si>
    <t>1.900 s</t>
  </si>
  <si>
    <t>96.7 dB(A)</t>
  </si>
  <si>
    <t>68.0 dB(A)</t>
  </si>
  <si>
    <t>84.5 dB</t>
  </si>
  <si>
    <t>23.2 dB</t>
  </si>
  <si>
    <t>8.0 dB</t>
  </si>
  <si>
    <t>170.7 ms</t>
  </si>
  <si>
    <t>roberta.zanelli1@studenti.unipr.it</t>
  </si>
  <si>
    <t>Zanelli Roberta</t>
  </si>
  <si>
    <t>88 dB(A)</t>
  </si>
  <si>
    <t>88.1 dB(A)</t>
  </si>
  <si>
    <t>2.185 s</t>
  </si>
  <si>
    <t>88.7 dB(A)</t>
  </si>
  <si>
    <t>69.3 dB(A)</t>
  </si>
  <si>
    <t>89.9 dB</t>
  </si>
  <si>
    <t>18.3 dB</t>
  </si>
  <si>
    <t>-6 dB</t>
  </si>
  <si>
    <t>0.6666667 ms</t>
  </si>
  <si>
    <t>daniele.musiari@studenti.unipr.it</t>
  </si>
  <si>
    <t>Musiari Daniele</t>
  </si>
  <si>
    <t>82.7 dB(A)</t>
  </si>
  <si>
    <t>87.9 dB(A)</t>
  </si>
  <si>
    <t>1.884 s</t>
  </si>
  <si>
    <t>67.2 dB(A)</t>
  </si>
  <si>
    <t>85.7 dB</t>
  </si>
  <si>
    <t>21.4 dB</t>
  </si>
  <si>
    <t>4 dB</t>
  </si>
  <si>
    <t>21.333 ms</t>
  </si>
  <si>
    <t>davide.musiari@studenti.unipr.it</t>
  </si>
  <si>
    <t>musiari davide</t>
  </si>
  <si>
    <t>82.7 dB(A)</t>
  </si>
  <si>
    <t>88.9 dB(A)</t>
  </si>
  <si>
    <t>1.884 s</t>
  </si>
  <si>
    <t>67.2 dB(A)</t>
  </si>
  <si>
    <t>85.7 dB</t>
  </si>
  <si>
    <t>4 dB</t>
  </si>
  <si>
    <t>85.333 ms</t>
  </si>
  <si>
    <t>annachiara.tonelli@studenti.unipr.it</t>
  </si>
  <si>
    <t>Tonelli Annachiara</t>
  </si>
  <si>
    <t>85.3 dB(A)</t>
  </si>
  <si>
    <t>88.1 dB(A)</t>
  </si>
  <si>
    <t>2.031 s</t>
  </si>
  <si>
    <t>92.7 dB(A)</t>
  </si>
  <si>
    <t>67.8 dB(A)</t>
  </si>
  <si>
    <t>87.5 dB</t>
  </si>
  <si>
    <t>21.2 dB</t>
  </si>
  <si>
    <t>0 dB</t>
  </si>
  <si>
    <t>10.667 ms</t>
  </si>
  <si>
    <t>fabio.letizia@studenti.unipr.it</t>
  </si>
  <si>
    <t>Letizia Fabio</t>
  </si>
  <si>
    <t>83.9 dB(A)</t>
  </si>
  <si>
    <t>87.1 dB(A)</t>
  </si>
  <si>
    <t>2.028 s</t>
  </si>
  <si>
    <t>64.5 dB(A)</t>
  </si>
  <si>
    <t>84.2 dB</t>
  </si>
  <si>
    <t>19.1 dB</t>
  </si>
  <si>
    <t>0.667 ms</t>
  </si>
  <si>
    <t>giacomo.fontana@studenti.unipr.it</t>
  </si>
  <si>
    <t>Giacomo Fontana</t>
  </si>
  <si>
    <t>87.9 dB(A)</t>
  </si>
  <si>
    <t>88.1 dB(A)</t>
  </si>
  <si>
    <t>2.302 s</t>
  </si>
  <si>
    <t>94.7 dB(A)</t>
  </si>
  <si>
    <t>68.5 dB(A)</t>
  </si>
  <si>
    <t>88.5 dB</t>
  </si>
  <si>
    <t>15.0 dB</t>
  </si>
  <si>
    <t>3 dB</t>
  </si>
  <si>
    <t>42.667 ms</t>
  </si>
  <si>
    <t>mariangelapia.colapinto@studenti.unipr.it</t>
  </si>
  <si>
    <t>Colapinto Mariangela</t>
  </si>
  <si>
    <t>88.2 dB(A)</t>
  </si>
  <si>
    <t>91.1 dB(A)</t>
  </si>
  <si>
    <t>2.041 s</t>
  </si>
  <si>
    <t>91.7 dB(A)</t>
  </si>
  <si>
    <t>68.8 dB(A)</t>
  </si>
  <si>
    <t>90.6 dB</t>
  </si>
  <si>
    <t>34.1 dB</t>
  </si>
  <si>
    <t>-5 dB</t>
  </si>
  <si>
    <t>5.333333 ms</t>
  </si>
  <si>
    <t>tommaso.mendicino1@studenti.unipr.it</t>
  </si>
  <si>
    <t>Mendicino Tommaso</t>
  </si>
  <si>
    <t>90 dB(A)</t>
  </si>
  <si>
    <t>88.6 dB(A)</t>
  </si>
  <si>
    <t>2.395 s</t>
  </si>
  <si>
    <t>96.7 dB(A)</t>
  </si>
  <si>
    <t>70.4 dB(A)</t>
  </si>
  <si>
    <t>91 dB</t>
  </si>
  <si>
    <t>13.8 dB</t>
  </si>
  <si>
    <t>3 dB</t>
  </si>
  <si>
    <t>170.667 ms</t>
  </si>
  <si>
    <t>cecilia.monsellato@studenti.unipr.it</t>
  </si>
  <si>
    <t>Monsellato Cecilia</t>
  </si>
  <si>
    <t>85.6 dB(A)</t>
  </si>
  <si>
    <t>88.9 dB(A)</t>
  </si>
  <si>
    <t>2.046 s</t>
  </si>
  <si>
    <t>96.7 dB(A)</t>
  </si>
  <si>
    <t>69.3 dB(A)</t>
  </si>
  <si>
    <t>88.5 dB</t>
  </si>
  <si>
    <t>23.5 dB</t>
  </si>
  <si>
    <t>4 dB</t>
  </si>
  <si>
    <t>170.6667 ms</t>
  </si>
  <si>
    <t>alessio.siciliano@studenti.unipr.it</t>
  </si>
  <si>
    <t>Siciliano Alessio</t>
  </si>
  <si>
    <t>86.1 dB(A)</t>
  </si>
  <si>
    <t>90.7 dB(A)</t>
  </si>
  <si>
    <t>1.9654 s</t>
  </si>
  <si>
    <t>66.0 dB(A)</t>
  </si>
  <si>
    <t>88.0 dB(A)</t>
  </si>
  <si>
    <t>21.5 dB</t>
  </si>
  <si>
    <t>-5 dB</t>
  </si>
  <si>
    <t>2.666 ms</t>
  </si>
  <si>
    <t>eleonora.fiorini@studenti.unipr.it</t>
  </si>
  <si>
    <t>Fiorini Eleonora</t>
  </si>
  <si>
    <t>87.2 dB(A)</t>
  </si>
  <si>
    <t>89.3 dB(A)</t>
  </si>
  <si>
    <t>2.097214 s</t>
  </si>
  <si>
    <t>67.6 dB(A)</t>
  </si>
  <si>
    <t>88.9 dB(A)</t>
  </si>
  <si>
    <t>20.2 dB</t>
  </si>
  <si>
    <t>-4 dB</t>
  </si>
  <si>
    <t>5.333 ms</t>
  </si>
  <si>
    <t>stefano.ruini@studenti.unipr.it</t>
  </si>
  <si>
    <t>Ruini Stefano</t>
  </si>
  <si>
    <t>84.6 dB(A)</t>
  </si>
  <si>
    <t>88.0 dB(A)</t>
  </si>
  <si>
    <t>2.159 s</t>
  </si>
  <si>
    <t>90.7 dB(A)</t>
  </si>
  <si>
    <t>65.5 dB(A)</t>
  </si>
  <si>
    <t>84.4 dB</t>
  </si>
  <si>
    <t>21.8 dB</t>
  </si>
  <si>
    <t>2 dB</t>
  </si>
  <si>
    <t>2.666 ms</t>
  </si>
  <si>
    <t>stefania.pancini@studenti.unipr.it</t>
  </si>
  <si>
    <t>PANCINI STEFANIA</t>
  </si>
  <si>
    <t>88.3 dB(A)</t>
  </si>
  <si>
    <t>89.1 dB(A)</t>
  </si>
  <si>
    <t>2.208 s</t>
  </si>
  <si>
    <t>93.9 dB(A)</t>
  </si>
  <si>
    <t>69.9 dB(A)</t>
  </si>
  <si>
    <t>90.5 dB</t>
  </si>
  <si>
    <t>30.6 dB</t>
  </si>
  <si>
    <t>0 dB</t>
  </si>
  <si>
    <t>42.66667 ms</t>
  </si>
  <si>
    <t>ayatallah.abdou@studenti.unipr.it</t>
  </si>
  <si>
    <t>Abdou Ayat Allah</t>
  </si>
  <si>
    <t>83.8 dB(A)</t>
  </si>
  <si>
    <t>87.7 dB(A)</t>
  </si>
  <si>
    <t>2.06342 s</t>
  </si>
  <si>
    <t>94.7 dB(A)</t>
  </si>
  <si>
    <t>67 dB(A)</t>
  </si>
  <si>
    <t>85.7 dB(A)</t>
  </si>
  <si>
    <t>20.1 dB</t>
  </si>
  <si>
    <t>5 dB</t>
  </si>
  <si>
    <t>85.333 ms</t>
  </si>
  <si>
    <t>luca.carpi1@studenti.unipr.it</t>
  </si>
  <si>
    <t>Carpi Luca</t>
  </si>
  <si>
    <t>86.1 dB(A)</t>
  </si>
  <si>
    <t>88.6 dB(A)</t>
  </si>
  <si>
    <t>2.0311 s</t>
  </si>
  <si>
    <t>94.7 dB(A)</t>
  </si>
  <si>
    <t>69 dB(A)</t>
  </si>
  <si>
    <t>88.8 dB(A)</t>
  </si>
  <si>
    <t>21.9 dB</t>
  </si>
  <si>
    <t>1 dB</t>
  </si>
  <si>
    <t>85.33 ms</t>
  </si>
  <si>
    <t>alessandro.opinto@studenti.unipr.it</t>
  </si>
  <si>
    <t>Opinto Alessandro</t>
  </si>
  <si>
    <t>85.63 dB(A)</t>
  </si>
  <si>
    <t>85.6 dB(A)</t>
  </si>
  <si>
    <t>2.20 s</t>
  </si>
  <si>
    <t>66.35 dB(A)</t>
  </si>
  <si>
    <t>85.36 dB</t>
  </si>
  <si>
    <t>13.6 dB</t>
  </si>
  <si>
    <t>1 dB</t>
  </si>
  <si>
    <t>2.66666 ms</t>
  </si>
  <si>
    <t>mattia.montanari1@studenti.unipr.it</t>
  </si>
  <si>
    <t>Montanari Mattia</t>
  </si>
  <si>
    <t>86.1 dB(A)</t>
  </si>
  <si>
    <t>87.7 dB(A)</t>
  </si>
  <si>
    <t>2.1160 s</t>
  </si>
  <si>
    <t>67.8 dB(A)</t>
  </si>
  <si>
    <t>87.3 dB(A)</t>
  </si>
  <si>
    <t>19.3 dB</t>
  </si>
  <si>
    <t>-2.0 dB</t>
  </si>
  <si>
    <t>5.333 ms</t>
  </si>
  <si>
    <t>mattiaantonio.costi@studenti.unipr.it</t>
  </si>
  <si>
    <t>Costi Mattia Antonio</t>
  </si>
  <si>
    <t>85.1 dB(A)</t>
  </si>
  <si>
    <t>88.8 dB(A)</t>
  </si>
  <si>
    <t>2.02035 s</t>
  </si>
  <si>
    <t>66.1 dB(A)</t>
  </si>
  <si>
    <t>86.5 dB(A)</t>
  </si>
  <si>
    <t>20.4 dB</t>
  </si>
  <si>
    <t>-3 dB</t>
  </si>
  <si>
    <t>2.666 ms</t>
  </si>
  <si>
    <t>manuel.lebovitz@studenti.unipr.it</t>
  </si>
  <si>
    <t>Lebovitz Manuel</t>
  </si>
  <si>
    <t>81.1 dB(A)</t>
  </si>
  <si>
    <t>87.8 dB(A)</t>
  </si>
  <si>
    <t>1.874 s</t>
  </si>
  <si>
    <t>89.7 dB(A)</t>
  </si>
  <si>
    <t>63.3 dB(A)</t>
  </si>
  <si>
    <t>82.5 dB(A)</t>
  </si>
  <si>
    <t>21.6 dB</t>
  </si>
  <si>
    <t>1 dB</t>
  </si>
  <si>
    <t>2.666 ms</t>
  </si>
  <si>
    <t>angelica.cantarelli@studenti.unipr.it</t>
  </si>
  <si>
    <t>Cantarelli Angelica</t>
  </si>
  <si>
    <t>87.2 dB(A)</t>
  </si>
  <si>
    <t>88.0 dB(A)</t>
  </si>
  <si>
    <t>2.1619 s</t>
  </si>
  <si>
    <t>92.7 dB(A)</t>
  </si>
  <si>
    <t>69.0 dB(A)</t>
  </si>
  <si>
    <t>88.9 dB(A)</t>
  </si>
  <si>
    <t>19.5 dB</t>
  </si>
  <si>
    <t>-1.0 dB</t>
  </si>
  <si>
    <t>21.33 ms</t>
  </si>
  <si>
    <t>toure.tiofouetsoking@studenti.unipr.it</t>
  </si>
  <si>
    <t>toure tiofouet soking</t>
  </si>
  <si>
    <t>87.77 dB(A)</t>
  </si>
  <si>
    <t>88.052 dB(A)</t>
  </si>
  <si>
    <t>2.084s</t>
  </si>
  <si>
    <t>67.208 dB(A)</t>
  </si>
  <si>
    <t>89.347 dB</t>
  </si>
  <si>
    <t>22.524 dB</t>
  </si>
  <si>
    <t>-6 dB</t>
  </si>
  <si>
    <t>marco.derosa@studenti.unipr.it</t>
  </si>
  <si>
    <t>De Rosa Marco</t>
  </si>
  <si>
    <t>89.1 dB(A)</t>
  </si>
  <si>
    <t>87.7 dB(A)</t>
  </si>
  <si>
    <t>2.328 s</t>
  </si>
  <si>
    <t>94.7 dB(A)</t>
  </si>
  <si>
    <t>70.2 dB(A)</t>
  </si>
  <si>
    <t>90.2 dB</t>
  </si>
  <si>
    <t>16.2 dB</t>
  </si>
  <si>
    <t>1 dB</t>
  </si>
  <si>
    <t>42.667 ms</t>
  </si>
  <si>
    <t>andrea.sarzimaddidini1@studenti.unipr.it</t>
  </si>
  <si>
    <t>sarzi maddidini andrea</t>
  </si>
  <si>
    <t>89.8 dB(A)</t>
  </si>
  <si>
    <t>88.8 dB(A)</t>
  </si>
  <si>
    <t>2.234 s</t>
  </si>
  <si>
    <t>94.7 dB(A)</t>
  </si>
  <si>
    <t>70.5 dB(A)</t>
  </si>
  <si>
    <t>92.3 dB</t>
  </si>
  <si>
    <t>20.0 dB</t>
  </si>
  <si>
    <t>-2.0 dB</t>
  </si>
  <si>
    <t>42.667 ms</t>
  </si>
  <si>
    <t>NTEMDIEU NONO ANDRE</t>
  </si>
  <si>
    <t>ntemdieunono@yahoo.fr</t>
  </si>
  <si>
    <t>88.66 dB(A)</t>
  </si>
  <si>
    <t>89.47 dB(A)</t>
  </si>
  <si>
    <t>2.29 s</t>
  </si>
  <si>
    <t>69.29 dB(A)</t>
  </si>
  <si>
    <t>87.93 dB</t>
  </si>
  <si>
    <t>16.24 dB</t>
  </si>
  <si>
    <t>N.</t>
  </si>
  <si>
    <t>Applied Acoustics - in class test of 12/12/2014</t>
  </si>
  <si>
    <t>meli angelica</t>
  </si>
  <si>
    <t>Colour coding</t>
  </si>
  <si>
    <t>Evaluation</t>
  </si>
  <si>
    <t>Too many or too few decimal digits</t>
  </si>
  <si>
    <t>ERROR !</t>
  </si>
  <si>
    <t>Wrong decimal separator (comma instead of point)</t>
  </si>
  <si>
    <t>Wrong or missing Matricula number</t>
  </si>
  <si>
    <t>-2 points, manual data insertion</t>
  </si>
  <si>
    <t>Sample Solution</t>
  </si>
  <si>
    <t>Matricula =</t>
  </si>
  <si>
    <t>A</t>
  </si>
  <si>
    <t>B</t>
  </si>
  <si>
    <t>C</t>
  </si>
  <si>
    <t>D</t>
  </si>
  <si>
    <t>E</t>
  </si>
  <si>
    <t>F</t>
  </si>
  <si>
    <t>Test of 019/12/2014</t>
  </si>
  <si>
    <t xml:space="preserve"> </t>
  </si>
  <si>
    <t>2) - DISIA - The traffic during the day period along a road (no slope and normal pavement) is the following: (10+F)*1000 cars, (10+E)*3000 heavy trucks, (10+D)*100 motorcycles. The SEL values are 80+A, 85+B and 90+D dB(A) respectively. Compute Leq,7.5m.</t>
  </si>
  <si>
    <t xml:space="preserve">10) The anechoic impulse response of a loudspeaker is measured, and a numerical inverse FIR filter is computed, having a length of 2^(5+F) samples at Fsamp=48 kHz. The main peak of the inverse filter is in the middle. How much latency (in ms) is caused by the usage of this digital filter employing a zero-latency DSP processor? </t>
  </si>
  <si>
    <t>T =</t>
  </si>
  <si>
    <t>s</t>
  </si>
  <si>
    <t>Leq =</t>
  </si>
  <si>
    <t>dB(A)</t>
  </si>
  <si>
    <t>L =</t>
  </si>
  <si>
    <t>m</t>
  </si>
  <si>
    <t>SEL =</t>
  </si>
  <si>
    <t>Ncars =</t>
  </si>
  <si>
    <t>Ntrucks =</t>
  </si>
  <si>
    <t>Nbikes =</t>
  </si>
  <si>
    <t>SELcars =</t>
  </si>
  <si>
    <t>SELtrucks =</t>
  </si>
  <si>
    <t>SELbike=</t>
  </si>
  <si>
    <t>V =</t>
  </si>
  <si>
    <t>mc</t>
  </si>
  <si>
    <t>S =</t>
  </si>
  <si>
    <t>mq</t>
  </si>
  <si>
    <t>N =</t>
  </si>
  <si>
    <t>Beta =</t>
  </si>
  <si>
    <t>lmfp =</t>
  </si>
  <si>
    <t>tc =</t>
  </si>
  <si>
    <t>Npyr =</t>
  </si>
  <si>
    <t>SPL (dB)</t>
  </si>
  <si>
    <t>1k</t>
  </si>
  <si>
    <t>2k</t>
  </si>
  <si>
    <t>4k</t>
  </si>
  <si>
    <t>8k</t>
  </si>
  <si>
    <t>16k</t>
  </si>
  <si>
    <t>f (Hz)</t>
  </si>
  <si>
    <t>Aweight</t>
  </si>
  <si>
    <t>SPL (dBA)</t>
  </si>
  <si>
    <t>SPL,tot =</t>
  </si>
  <si>
    <t>dB</t>
  </si>
  <si>
    <t>Energy</t>
  </si>
  <si>
    <t>SPL1 =</t>
  </si>
  <si>
    <t>T1 =</t>
  </si>
  <si>
    <t>h</t>
  </si>
  <si>
    <t>SPL2 =</t>
  </si>
  <si>
    <t>T2 =</t>
  </si>
  <si>
    <t>A =</t>
  </si>
  <si>
    <t>Lw =</t>
  </si>
  <si>
    <t>Lriv =</t>
  </si>
  <si>
    <t>Ltot =</t>
  </si>
  <si>
    <t>heff  =</t>
  </si>
  <si>
    <t>d =</t>
  </si>
  <si>
    <t>delta =</t>
  </si>
  <si>
    <t>Delta L =</t>
  </si>
  <si>
    <t>Freq =</t>
  </si>
  <si>
    <t>Hz</t>
  </si>
  <si>
    <t>SPLdir =</t>
  </si>
  <si>
    <t>SPLrev =</t>
  </si>
  <si>
    <t>C80 =</t>
  </si>
  <si>
    <t>Lfilter =</t>
  </si>
  <si>
    <t>samples</t>
  </si>
  <si>
    <t>Delay =</t>
  </si>
  <si>
    <t>ms</t>
  </si>
  <si>
    <t>Presence</t>
  </si>
  <si>
    <t>Online Score</t>
  </si>
  <si>
    <t>Wrong measurement unit</t>
  </si>
  <si>
    <t>Correct Answer</t>
  </si>
  <si>
    <t>Score</t>
  </si>
  <si>
    <t>Total Score</t>
  </si>
  <si>
    <t>Max Score =</t>
  </si>
  <si>
    <t>of</t>
  </si>
  <si>
    <t>It should marked as Error, but it is Christmas...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</si>
</sst>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0.0"/>
    <numFmt numFmtId="166" formatCode="0.000"/>
  </numFmts>
  <fonts count="8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i/>
      <sz val="10"/>
      <name val="Calibri"/>
      <family val="2"/>
    </font>
    <font>
      <sz val="16"/>
      <name val="Calibri"/>
      <family val="2"/>
    </font>
    <font>
      <sz val="10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99FF"/>
        <bgColor rgb="FFFF99FF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3" fillId="0" borderId="1" xfId="0" applyFont="1" applyBorder="1"/>
    <xf numFmtId="0" fontId="0" fillId="0" borderId="1" xfId="0" applyFont="1" applyBorder="1"/>
    <xf numFmtId="0" fontId="1" fillId="3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1" fillId="5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1" fillId="0" borderId="2" xfId="0" applyFont="1" applyBorder="1" applyAlignment="1"/>
    <xf numFmtId="0" fontId="3" fillId="7" borderId="1" xfId="0" applyFont="1" applyFill="1" applyBorder="1"/>
    <xf numFmtId="0" fontId="0" fillId="7" borderId="1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8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3" fillId="8" borderId="3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/>
    </xf>
    <xf numFmtId="165" fontId="3" fillId="8" borderId="3" xfId="0" applyNumberFormat="1" applyFont="1" applyFill="1" applyBorder="1" applyAlignment="1">
      <alignment horizontal="left" vertical="center"/>
    </xf>
    <xf numFmtId="166" fontId="0" fillId="0" borderId="0" xfId="0" applyNumberFormat="1"/>
    <xf numFmtId="166" fontId="3" fillId="8" borderId="3" xfId="0" applyNumberFormat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/>
    </xf>
    <xf numFmtId="166" fontId="0" fillId="0" borderId="1" xfId="0" applyNumberFormat="1" applyFont="1" applyBorder="1"/>
    <xf numFmtId="166" fontId="0" fillId="3" borderId="1" xfId="0" applyNumberFormat="1" applyFont="1" applyFill="1" applyBorder="1"/>
    <xf numFmtId="166" fontId="0" fillId="4" borderId="1" xfId="0" applyNumberFormat="1" applyFont="1" applyFill="1" applyBorder="1"/>
    <xf numFmtId="166" fontId="0" fillId="5" borderId="1" xfId="0" applyNumberFormat="1" applyFont="1" applyFill="1" applyBorder="1"/>
    <xf numFmtId="166" fontId="0" fillId="6" borderId="1" xfId="0" applyNumberFormat="1" applyFont="1" applyFill="1" applyBorder="1"/>
    <xf numFmtId="1" fontId="7" fillId="0" borderId="2" xfId="0" applyNumberFormat="1" applyFont="1" applyBorder="1" applyAlignment="1">
      <alignment horizontal="center"/>
    </xf>
    <xf numFmtId="165" fontId="3" fillId="8" borderId="3" xfId="0" applyNumberFormat="1" applyFont="1" applyFill="1" applyBorder="1" applyAlignment="1">
      <alignment vertical="center"/>
    </xf>
    <xf numFmtId="0" fontId="3" fillId="8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8" borderId="6" xfId="0" applyNumberFormat="1" applyFont="1" applyFill="1" applyBorder="1" applyAlignment="1">
      <alignment horizontal="center" vertical="center"/>
    </xf>
    <xf numFmtId="0" fontId="0" fillId="0" borderId="7" xfId="0" applyBorder="1"/>
    <xf numFmtId="164" fontId="1" fillId="0" borderId="2" xfId="0" applyNumberFormat="1" applyFont="1" applyBorder="1" applyAlignment="1"/>
    <xf numFmtId="0" fontId="0" fillId="0" borderId="2" xfId="0" applyBorder="1"/>
    <xf numFmtId="0" fontId="1" fillId="10" borderId="2" xfId="0" applyFont="1" applyFill="1" applyBorder="1" applyAlignment="1"/>
    <xf numFmtId="0" fontId="1" fillId="9" borderId="2" xfId="0" applyFont="1" applyFill="1" applyBorder="1" applyAlignment="1"/>
    <xf numFmtId="0" fontId="0" fillId="6" borderId="2" xfId="0" applyFont="1" applyFill="1" applyBorder="1"/>
    <xf numFmtId="0" fontId="1" fillId="0" borderId="2" xfId="0" applyFont="1" applyFill="1" applyBorder="1" applyAlignment="1"/>
    <xf numFmtId="0" fontId="1" fillId="9" borderId="2" xfId="0" applyFont="1" applyFill="1" applyBorder="1"/>
    <xf numFmtId="0" fontId="1" fillId="0" borderId="2" xfId="0" quotePrefix="1" applyFont="1" applyFill="1" applyBorder="1" applyAlignment="1"/>
    <xf numFmtId="0" fontId="0" fillId="0" borderId="8" xfId="0" applyBorder="1"/>
    <xf numFmtId="164" fontId="1" fillId="0" borderId="9" xfId="0" applyNumberFormat="1" applyFont="1" applyBorder="1" applyAlignment="1"/>
    <xf numFmtId="0" fontId="1" fillId="0" borderId="9" xfId="0" applyFont="1" applyBorder="1" applyAlignment="1"/>
    <xf numFmtId="0" fontId="0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9" borderId="9" xfId="0" applyFont="1" applyFill="1" applyBorder="1" applyAlignment="1"/>
    <xf numFmtId="165" fontId="7" fillId="0" borderId="9" xfId="0" applyNumberFormat="1" applyFont="1" applyBorder="1" applyAlignment="1">
      <alignment horizontal="center"/>
    </xf>
    <xf numFmtId="166" fontId="7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1" fillId="10" borderId="9" xfId="0" applyFont="1" applyFill="1" applyBorder="1" applyAlignment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62"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228600</xdr:colOff>
      <xdr:row>39</xdr:row>
      <xdr:rowOff>91440</xdr:rowOff>
    </xdr:to>
    <xdr:sp macro="" textlink="">
      <xdr:nvSpPr>
        <xdr:cNvPr id="1054" name="Rectangle 3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228600</xdr:colOff>
      <xdr:row>39</xdr:row>
      <xdr:rowOff>91440</xdr:rowOff>
    </xdr:to>
    <xdr:sp macro="" textlink="">
      <xdr:nvSpPr>
        <xdr:cNvPr id="2" name="AutoShape 3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228600</xdr:colOff>
      <xdr:row>38</xdr:row>
      <xdr:rowOff>91440</xdr:rowOff>
    </xdr:to>
    <xdr:sp macro="" textlink="">
      <xdr:nvSpPr>
        <xdr:cNvPr id="3" name="AutoShape 30"/>
        <xdr:cNvSpPr>
          <a:spLocks noChangeArrowheads="1"/>
        </xdr:cNvSpPr>
      </xdr:nvSpPr>
      <xdr:spPr bwMode="auto">
        <a:xfrm>
          <a:off x="0" y="0"/>
          <a:ext cx="3901440" cy="64922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15240</xdr:rowOff>
        </xdr:from>
        <xdr:to>
          <xdr:col>10</xdr:col>
          <xdr:colOff>190500</xdr:colOff>
          <xdr:row>7</xdr:row>
          <xdr:rowOff>99060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10</xdr:row>
          <xdr:rowOff>38100</xdr:rowOff>
        </xdr:from>
        <xdr:to>
          <xdr:col>15</xdr:col>
          <xdr:colOff>38100</xdr:colOff>
          <xdr:row>11</xdr:row>
          <xdr:rowOff>106680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13</xdr:row>
          <xdr:rowOff>0</xdr:rowOff>
        </xdr:from>
        <xdr:to>
          <xdr:col>10</xdr:col>
          <xdr:colOff>441960</xdr:colOff>
          <xdr:row>15</xdr:row>
          <xdr:rowOff>228600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30480</xdr:rowOff>
        </xdr:from>
        <xdr:to>
          <xdr:col>7</xdr:col>
          <xdr:colOff>563880</xdr:colOff>
          <xdr:row>19</xdr:row>
          <xdr:rowOff>38100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18</xdr:row>
      <xdr:rowOff>23140</xdr:rowOff>
    </xdr:from>
    <xdr:to>
      <xdr:col>20</xdr:col>
      <xdr:colOff>281940</xdr:colOff>
      <xdr:row>28</xdr:row>
      <xdr:rowOff>53340</xdr:rowOff>
    </xdr:to>
    <xdr:pic>
      <xdr:nvPicPr>
        <xdr:cNvPr id="15" name="Picture 14" descr="http://cffet.net/noise/ch2_tble_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68320"/>
          <a:ext cx="3939540" cy="188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28</xdr:row>
          <xdr:rowOff>30480</xdr:rowOff>
        </xdr:from>
        <xdr:to>
          <xdr:col>13</xdr:col>
          <xdr:colOff>60960</xdr:colOff>
          <xdr:row>30</xdr:row>
          <xdr:rowOff>160020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38100</xdr:rowOff>
        </xdr:from>
        <xdr:to>
          <xdr:col>9</xdr:col>
          <xdr:colOff>121920</xdr:colOff>
          <xdr:row>34</xdr:row>
          <xdr:rowOff>121920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37</xdr:row>
          <xdr:rowOff>53340</xdr:rowOff>
        </xdr:from>
        <xdr:to>
          <xdr:col>11</xdr:col>
          <xdr:colOff>441960</xdr:colOff>
          <xdr:row>39</xdr:row>
          <xdr:rowOff>137160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53340</xdr:rowOff>
        </xdr:from>
        <xdr:to>
          <xdr:col>5</xdr:col>
          <xdr:colOff>205740</xdr:colOff>
          <xdr:row>43</xdr:row>
          <xdr:rowOff>106680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45</xdr:row>
          <xdr:rowOff>30480</xdr:rowOff>
        </xdr:from>
        <xdr:to>
          <xdr:col>5</xdr:col>
          <xdr:colOff>563880</xdr:colOff>
          <xdr:row>48</xdr:row>
          <xdr:rowOff>7620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6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14.44140625" defaultRowHeight="15.75" customHeight="1"/>
  <cols>
    <col min="1" max="1" width="4" customWidth="1"/>
    <col min="2" max="2" width="9.77734375" customWidth="1"/>
    <col min="3" max="3" width="10" customWidth="1"/>
    <col min="4" max="4" width="21.5546875" customWidth="1"/>
    <col min="5" max="5" width="8.21875" customWidth="1"/>
    <col min="6" max="6" width="9.109375" customWidth="1"/>
    <col min="7" max="12" width="2.5546875" customWidth="1"/>
    <col min="13" max="13" width="12" customWidth="1"/>
    <col min="14" max="14" width="12.88671875" customWidth="1"/>
    <col min="15" max="15" width="14.5546875" customWidth="1"/>
    <col min="16" max="16" width="6.21875" customWidth="1"/>
    <col min="17" max="17" width="14.33203125" customWidth="1"/>
    <col min="18" max="18" width="14.6640625" customWidth="1"/>
    <col min="19" max="19" width="6.44140625" customWidth="1"/>
    <col min="20" max="20" width="9.77734375" customWidth="1"/>
    <col min="21" max="21" width="15.44140625" style="28" customWidth="1"/>
    <col min="22" max="22" width="7" customWidth="1"/>
    <col min="23" max="23" width="8.5546875" customWidth="1"/>
    <col min="24" max="24" width="15.21875" customWidth="1"/>
    <col min="25" max="25" width="6.44140625" customWidth="1"/>
    <col min="26" max="26" width="10.6640625" customWidth="1"/>
    <col min="27" max="27" width="14.5546875" customWidth="1"/>
    <col min="28" max="28" width="5.88671875" customWidth="1"/>
    <col min="29" max="29" width="12.77734375" customWidth="1"/>
    <col min="30" max="30" width="14.6640625" customWidth="1"/>
    <col min="31" max="31" width="6.21875" customWidth="1"/>
    <col min="32" max="32" width="10.77734375" customWidth="1"/>
    <col min="33" max="33" width="15" customWidth="1"/>
    <col min="34" max="34" width="7" customWidth="1"/>
    <col min="35" max="35" width="10.44140625" customWidth="1"/>
    <col min="36" max="36" width="14.6640625" customWidth="1"/>
    <col min="37" max="37" width="6" customWidth="1"/>
    <col min="38" max="38" width="8" customWidth="1"/>
    <col min="39" max="39" width="14.77734375" customWidth="1"/>
    <col min="40" max="40" width="6.33203125" customWidth="1"/>
    <col min="41" max="41" width="10.21875" customWidth="1"/>
    <col min="43" max="43" width="6.77734375" customWidth="1"/>
    <col min="44" max="44" width="10.88671875" customWidth="1"/>
    <col min="45" max="45" width="12.21875" customWidth="1"/>
    <col min="46" max="46" width="4" customWidth="1"/>
    <col min="47" max="47" width="3.21875" customWidth="1"/>
    <col min="48" max="48" width="3.109375" customWidth="1"/>
  </cols>
  <sheetData>
    <row r="1" spans="1:48" ht="15.75" customHeight="1" thickBot="1">
      <c r="A1" s="2" t="s">
        <v>1545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8" ht="13.2">
      <c r="A2" s="40" t="s">
        <v>1544</v>
      </c>
      <c r="B2" s="25" t="s">
        <v>0</v>
      </c>
      <c r="C2" s="25" t="s">
        <v>1</v>
      </c>
      <c r="D2" s="25" t="s">
        <v>2</v>
      </c>
      <c r="E2" s="25" t="s">
        <v>3</v>
      </c>
      <c r="F2" s="21" t="s">
        <v>1622</v>
      </c>
      <c r="G2" s="22" t="s">
        <v>1556</v>
      </c>
      <c r="H2" s="22" t="s">
        <v>1557</v>
      </c>
      <c r="I2" s="22" t="s">
        <v>1558</v>
      </c>
      <c r="J2" s="22" t="s">
        <v>1559</v>
      </c>
      <c r="K2" s="22" t="s">
        <v>1560</v>
      </c>
      <c r="L2" s="22" t="s">
        <v>1561</v>
      </c>
      <c r="M2" s="21" t="s">
        <v>1623</v>
      </c>
      <c r="N2" s="27" t="s">
        <v>4</v>
      </c>
      <c r="O2" s="25" t="s">
        <v>1625</v>
      </c>
      <c r="P2" s="22" t="s">
        <v>1626</v>
      </c>
      <c r="Q2" s="27" t="s">
        <v>5</v>
      </c>
      <c r="R2" s="25" t="s">
        <v>1625</v>
      </c>
      <c r="S2" s="22" t="s">
        <v>1626</v>
      </c>
      <c r="T2" s="37" t="s">
        <v>6</v>
      </c>
      <c r="U2" s="29" t="s">
        <v>1625</v>
      </c>
      <c r="V2" s="22" t="s">
        <v>1626</v>
      </c>
      <c r="W2" s="37" t="s">
        <v>7</v>
      </c>
      <c r="X2" s="29" t="s">
        <v>1625</v>
      </c>
      <c r="Y2" s="22" t="s">
        <v>1626</v>
      </c>
      <c r="Z2" s="37" t="s">
        <v>8</v>
      </c>
      <c r="AA2" s="25" t="s">
        <v>1625</v>
      </c>
      <c r="AB2" s="22" t="s">
        <v>1626</v>
      </c>
      <c r="AC2" s="37" t="s">
        <v>9</v>
      </c>
      <c r="AD2" s="25" t="s">
        <v>1625</v>
      </c>
      <c r="AE2" s="22" t="s">
        <v>1626</v>
      </c>
      <c r="AF2" s="37" t="s">
        <v>10</v>
      </c>
      <c r="AG2" s="25" t="s">
        <v>1625</v>
      </c>
      <c r="AH2" s="22" t="s">
        <v>1626</v>
      </c>
      <c r="AI2" s="37" t="s">
        <v>11</v>
      </c>
      <c r="AJ2" s="25" t="s">
        <v>1625</v>
      </c>
      <c r="AK2" s="22" t="s">
        <v>1626</v>
      </c>
      <c r="AL2" s="37" t="s">
        <v>12</v>
      </c>
      <c r="AM2" s="25" t="s">
        <v>1625</v>
      </c>
      <c r="AN2" s="22" t="s">
        <v>1626</v>
      </c>
      <c r="AO2" s="37" t="s">
        <v>13</v>
      </c>
      <c r="AP2" s="29" t="s">
        <v>1625</v>
      </c>
      <c r="AQ2" s="22" t="s">
        <v>1626</v>
      </c>
      <c r="AR2" s="38" t="s">
        <v>1627</v>
      </c>
      <c r="AS2" s="61" t="s">
        <v>1628</v>
      </c>
      <c r="AT2" s="15">
        <v>12</v>
      </c>
      <c r="AU2" s="4" t="s">
        <v>1629</v>
      </c>
      <c r="AV2" s="62">
        <v>12</v>
      </c>
    </row>
    <row r="3" spans="1:48" ht="13.2">
      <c r="A3" s="41">
        <v>1</v>
      </c>
      <c r="B3" s="42">
        <v>41992.757904247679</v>
      </c>
      <c r="C3" s="12" t="s">
        <v>104</v>
      </c>
      <c r="D3" s="12" t="s">
        <v>105</v>
      </c>
      <c r="E3" s="12">
        <v>240892</v>
      </c>
      <c r="F3" s="23">
        <v>1</v>
      </c>
      <c r="G3" s="23">
        <f>INT(E3/100000)</f>
        <v>2</v>
      </c>
      <c r="H3" s="23">
        <f>INT(($E3-100000*G3)/10000)</f>
        <v>4</v>
      </c>
      <c r="I3" s="23">
        <f>INT(($E3-100000*G3-10000*H3)/1000)</f>
        <v>0</v>
      </c>
      <c r="J3" s="23">
        <f>INT(($E3-100000*$G3-10000*$H3-1000*$I3)/100)</f>
        <v>8</v>
      </c>
      <c r="K3" s="23">
        <f>INT(($E3-100000*$G3-10000*$H3-1000*$I3-100*$J3)/10)</f>
        <v>9</v>
      </c>
      <c r="L3" s="23">
        <f>INT(($E3-100000*$G3-10000*$H3-1000*$I3-100*$J3-10*$K3))</f>
        <v>2</v>
      </c>
      <c r="M3" s="24">
        <v>2</v>
      </c>
      <c r="N3" s="12" t="s">
        <v>106</v>
      </c>
      <c r="O3" s="26">
        <f>65+K3+10*LOG10(70+L3)+10*LOG10(100/(100+J3*20))</f>
        <v>88.423591484604515</v>
      </c>
      <c r="P3" s="24">
        <f>IF(N3="",0,IF(EXACT(RIGHT(N3,5),"dB(A)"),IF(ABS(VALUE(LEFT(N3,FIND(" ",N3,1)))-O3)&lt;=0.5,1,-1),-1))</f>
        <v>1</v>
      </c>
      <c r="Q3" s="12" t="s">
        <v>107</v>
      </c>
      <c r="R3" s="26">
        <f>10*LOG10(10^((80+G3)/10)*(10+L3)*1000/16/3600+10^((85+H3)/10)*(10+K3)*3000/16/3600+10^((90+J3)/10)*(10+J3)*100/16/3600)</f>
        <v>90.069991742445694</v>
      </c>
      <c r="S3" s="24">
        <f>IF(Q3="",0,IF(EXACT(RIGHT(Q3,5),"dB(A)"),IF(ABS(VALUE(LEFT(Q3,FIND(" ",Q3,1)))-R3)&lt;=0.5,1,-1),-1))</f>
        <v>1</v>
      </c>
      <c r="T3" s="12" t="s">
        <v>108</v>
      </c>
      <c r="U3" s="30">
        <f>4*(500+K3*10+L3)/(400+J3*10)/340*SQRT(8192/4/0.1)</f>
        <v>2.0764741061645107</v>
      </c>
      <c r="V3" s="24">
        <f>IF(T3="",0,IF(EXACT(RIGHT(T3,2)," s"),IF(ABS(VALUE(LEFT(T3,FIND(" ",T3,1)))-U3)&lt;=0.005,1,-1),-1))</f>
        <v>1</v>
      </c>
      <c r="W3" s="12">
        <v>1024</v>
      </c>
      <c r="X3" s="36">
        <f>8*2^(5+L3)</f>
        <v>1024</v>
      </c>
      <c r="Y3" s="24">
        <f>IF(W3="",0,IF(ABS(W3-X3)&lt;=1,1,-1))</f>
        <v>1</v>
      </c>
      <c r="Z3" s="12" t="s">
        <v>109</v>
      </c>
      <c r="AA3" s="26">
        <f>10*LOG10(10^((60+L3-39.4)/10)+10^((63+L3-26.2)/10)+10^((66+L3-16.1)/10)+10^((69+L3-8.6)/10)+10^((72+L3-3.2)/10)+10^((75+L3)/10)+10^((78+L3+1.2)/10)+10^((81+L3+1)/10)+10^((84+L3-1.1)/10)+10^((87+L3-6.6)/10))</f>
        <v>89.684202566927453</v>
      </c>
      <c r="AB3" s="24">
        <f>IF(Z3="",0,IF(EXACT(RIGHT(Z3,5),"dB(A)"),IF(ABS(VALUE(LEFT(Z3,FIND(" ",Z3,1)))-AA3)&lt;=0.2,1,-1),-1))</f>
        <v>1</v>
      </c>
      <c r="AC3" s="12" t="s">
        <v>110</v>
      </c>
      <c r="AD3" s="26">
        <f>10*LOG10((10^((60+L3)/10)*(1+J3)+10^((65+K3)/10)*(2+I3/3))/(1+J3+2+I3/3))</f>
        <v>67.681789294025762</v>
      </c>
      <c r="AE3" s="24">
        <f>IF(AC3="",0,IF(EXACT(RIGHT(AC3,5),"dB(A)"),IF(ABS(VALUE(LEFT(AC3,FIND(" ",AC3,1)))-AD3)&lt;=0.5,1,-1),-1))</f>
        <v>1</v>
      </c>
      <c r="AF3" s="12" t="s">
        <v>111</v>
      </c>
      <c r="AG3" s="26">
        <f>90+K3+10*LOG10(4/(0.16*(300+J3*20)/(1+L3/10)))+3</f>
        <v>90.143634230380883</v>
      </c>
      <c r="AH3" s="24">
        <f>IF(AF3="",0,IF(EXACT(RIGHT(AF3,2),"dB"),IF(ABS(VALUE(LEFT(AF3,FIND(" ",AF3,1)))-AG3)&lt;=0.5,1,-1),-1))</f>
        <v>1</v>
      </c>
      <c r="AI3" s="12" t="s">
        <v>112</v>
      </c>
      <c r="AJ3" s="26">
        <f>10*LOG10(3+40*(2*SQRT(((10+K3)/2)^2+(3+L3/10)^2)-(10+K3))*100*(1+J3)/340)</f>
        <v>20.571495422687928</v>
      </c>
      <c r="AK3" s="24">
        <f>IF(AI3="",0,IF(EXACT(RIGHT(AI3,2),"dB"),IF(ABS(VALUE(LEFT(AI3,FIND(" ",AI3,1)))-AJ3)&lt;=0.5,1,-1),-1))</f>
        <v>1</v>
      </c>
      <c r="AL3" s="12" t="s">
        <v>113</v>
      </c>
      <c r="AM3" s="26">
        <f>80+L3-(80+K3)</f>
        <v>-7</v>
      </c>
      <c r="AN3" s="24">
        <f>IF(AL3="",0,IF(EXACT(RIGHT(AL3,2),"dB"),IF(ABS(VALUE(LEFT(AL3,FIND(" ",AL3,1)))-AM3)&lt;=0.5,1,-1),-1))</f>
        <v>1</v>
      </c>
      <c r="AO3" s="12" t="s">
        <v>114</v>
      </c>
      <c r="AP3" s="30">
        <f>((2^(5+L3))/2+1)/48</f>
        <v>1.3541666666666667</v>
      </c>
      <c r="AQ3" s="24">
        <f>IF(AO3="",0,IF(EXACT(RIGHT(AO3,2),"ms"),IF(ABS(VALUE(LEFT(AO3,FIND(" ",AO3,1)))-AP3)/AP3&lt;=0.02,1,-1),-1))</f>
        <v>1</v>
      </c>
      <c r="AR3" s="39">
        <f>M3+P3+S3+V3+Y3+AB3+AE3+AH3+AK3+AN3+AQ3</f>
        <v>12</v>
      </c>
      <c r="AS3" s="5"/>
      <c r="AT3" s="5"/>
      <c r="AU3" s="5"/>
      <c r="AV3" s="5"/>
    </row>
    <row r="4" spans="1:48" ht="13.2">
      <c r="A4" s="41">
        <v>2</v>
      </c>
      <c r="B4" s="42">
        <v>41992.759296064811</v>
      </c>
      <c r="C4" s="12" t="s">
        <v>186</v>
      </c>
      <c r="D4" s="12" t="s">
        <v>187</v>
      </c>
      <c r="E4" s="12">
        <v>251967</v>
      </c>
      <c r="F4" s="23">
        <v>1</v>
      </c>
      <c r="G4" s="23">
        <f>INT(E4/100000)</f>
        <v>2</v>
      </c>
      <c r="H4" s="23">
        <f>INT(($E4-100000*G4)/10000)</f>
        <v>5</v>
      </c>
      <c r="I4" s="23">
        <f>INT(($E4-100000*G4-10000*H4)/1000)</f>
        <v>1</v>
      </c>
      <c r="J4" s="23">
        <f>INT(($E4-100000*$G4-10000*$H4-1000*$I4)/100)</f>
        <v>9</v>
      </c>
      <c r="K4" s="23">
        <f>INT(($E4-100000*$G4-10000*$H4-1000*$I4-100*$J4)/10)</f>
        <v>6</v>
      </c>
      <c r="L4" s="23">
        <f>INT(($E4-100000*$G4-10000*$H4-1000*$I4-100*$J4-10*$K4))</f>
        <v>7</v>
      </c>
      <c r="M4" s="24">
        <v>2</v>
      </c>
      <c r="N4" s="12" t="s">
        <v>188</v>
      </c>
      <c r="O4" s="26">
        <f>65+K4+10*LOG10(70+L4)+10*LOG10(100/(100+J4*20))</f>
        <v>85.393326938302621</v>
      </c>
      <c r="P4" s="24">
        <f>IF(N4="",0,IF(EXACT(RIGHT(N4,5),"dB(A)"),IF(ABS(VALUE(LEFT(N4,FIND(" ",N4,1)))-O4)&lt;=0.5,1,-1),-1))</f>
        <v>1</v>
      </c>
      <c r="Q4" s="12" t="s">
        <v>189</v>
      </c>
      <c r="R4" s="26">
        <f>10*LOG10(10^((80+G4)/10)*(10+L4)*1000/16/3600+10^((85+H4)/10)*(10+K4)*3000/16/3600+10^((90+J4)/10)*(10+J4)*100/16/3600)</f>
        <v>90.577146604178878</v>
      </c>
      <c r="S4" s="24">
        <f>IF(Q4="",0,IF(EXACT(RIGHT(Q4,5),"dB(A)"),IF(ABS(VALUE(LEFT(Q4,FIND(" ",Q4,1)))-R4)&lt;=0.5,1,-1),-1))</f>
        <v>1</v>
      </c>
      <c r="T4" s="12" t="s">
        <v>190</v>
      </c>
      <c r="U4" s="30">
        <f>4*(500+K4*10+L4)/(400+J4*10)/340*SQRT(8192/4/0.1)</f>
        <v>1.9481977135056994</v>
      </c>
      <c r="V4" s="24">
        <f>IF(T4="",0,IF(EXACT(RIGHT(T4,2)," s"),IF(ABS(VALUE(LEFT(T4,FIND(" ",T4,1)))-U4)&lt;=0.005,1,-1),-1))</f>
        <v>1</v>
      </c>
      <c r="W4" s="12">
        <v>32768</v>
      </c>
      <c r="X4" s="36">
        <f>8*2^(5+L4)</f>
        <v>32768</v>
      </c>
      <c r="Y4" s="24">
        <f>IF(W4="",0,IF(ABS(W4-X4)&lt;=1,1,-1))</f>
        <v>1</v>
      </c>
      <c r="Z4" s="12" t="s">
        <v>191</v>
      </c>
      <c r="AA4" s="26">
        <f>10*LOG10(10^((60+L4-39.4)/10)+10^((63+L4-26.2)/10)+10^((66+L4-16.1)/10)+10^((69+L4-8.6)/10)+10^((72+L4-3.2)/10)+10^((75+L4)/10)+10^((78+L4+1.2)/10)+10^((81+L4+1)/10)+10^((84+L4-1.1)/10)+10^((87+L4-6.6)/10))</f>
        <v>94.684202566927453</v>
      </c>
      <c r="AB4" s="24">
        <f>IF(Z4="",0,IF(EXACT(RIGHT(Z4,5),"dB(A)"),IF(ABS(VALUE(LEFT(Z4,FIND(" ",Z4,1)))-AA4)&lt;=0.2,1,-1),-1))</f>
        <v>1</v>
      </c>
      <c r="AC4" s="12" t="s">
        <v>192</v>
      </c>
      <c r="AD4" s="26">
        <f>10*LOG10((10^((60+L4)/10)*(1+J4)+10^((65+K4)/10)*(2+I4/3))/(1+J4+2+I4/3))</f>
        <v>68.092519670152598</v>
      </c>
      <c r="AE4" s="24">
        <f>IF(AC4="",0,IF(EXACT(RIGHT(AC4,5),"dB(A)"),IF(ABS(VALUE(LEFT(AC4,FIND(" ",AC4,1)))-AD4)&lt;=0.5,1,-1),-1))</f>
        <v>1</v>
      </c>
      <c r="AF4" s="12" t="s">
        <v>193</v>
      </c>
      <c r="AG4" s="26">
        <f>90+K4+10*LOG10(4/(0.16*(300+J4*20)/(1+L4/10)))+3</f>
        <v>88.471476926747243</v>
      </c>
      <c r="AH4" s="24">
        <f>IF(AF4="",0,IF(EXACT(RIGHT(AF4,2),"dB"),IF(ABS(VALUE(LEFT(AF4,FIND(" ",AF4,1)))-AG4)&lt;=0.5,1,-1),-1))</f>
        <v>1</v>
      </c>
      <c r="AI4" s="12" t="s">
        <v>194</v>
      </c>
      <c r="AJ4" s="26">
        <f>10*LOG10(3+40*(2*SQRT(((10+K4)/2)^2+(3+L4/10)^2)-(10+K4))*100*(1+J4)/340)</f>
        <v>22.890866976317696</v>
      </c>
      <c r="AK4" s="24">
        <f>IF(AI4="",0,IF(EXACT(RIGHT(AI4,2),"dB"),IF(ABS(VALUE(LEFT(AI4,FIND(" ",AI4,1)))-AJ4)&lt;=0.5,1,-1),-1))</f>
        <v>1</v>
      </c>
      <c r="AL4" s="12" t="s">
        <v>195</v>
      </c>
      <c r="AM4" s="26">
        <f>80+L4-(80+K4)</f>
        <v>1</v>
      </c>
      <c r="AN4" s="24">
        <f>IF(AL4="",0,IF(EXACT(RIGHT(AL4,2),"dB"),IF(ABS(VALUE(LEFT(AL4,FIND(" ",AL4,1)))-AM4)&lt;=0.5,1,-1),-1))</f>
        <v>1</v>
      </c>
      <c r="AO4" s="12" t="s">
        <v>196</v>
      </c>
      <c r="AP4" s="30">
        <f>((2^(5+L4))/2+1)/48</f>
        <v>42.6875</v>
      </c>
      <c r="AQ4" s="24">
        <f>IF(AO4="",0,IF(EXACT(RIGHT(AO4,2),"ms"),IF(ABS(VALUE(LEFT(AO4,FIND(" ",AO4,1)))-AP4)/AP4&lt;=0.02,1,-1),-1))</f>
        <v>1</v>
      </c>
      <c r="AR4" s="39">
        <f>M4+P4+S4+V4+Y4+AB4+AE4+AH4+AK4+AN4+AQ4</f>
        <v>12</v>
      </c>
    </row>
    <row r="5" spans="1:48" ht="13.2">
      <c r="A5" s="41">
        <v>3</v>
      </c>
      <c r="B5" s="42">
        <v>41992.759652025459</v>
      </c>
      <c r="C5" s="12" t="s">
        <v>197</v>
      </c>
      <c r="D5" s="12" t="s">
        <v>198</v>
      </c>
      <c r="E5" s="12">
        <v>254915</v>
      </c>
      <c r="F5" s="23">
        <v>1</v>
      </c>
      <c r="G5" s="23">
        <f>INT(E5/100000)</f>
        <v>2</v>
      </c>
      <c r="H5" s="23">
        <f>INT(($E5-100000*G5)/10000)</f>
        <v>5</v>
      </c>
      <c r="I5" s="23">
        <f>INT(($E5-100000*G5-10000*H5)/1000)</f>
        <v>4</v>
      </c>
      <c r="J5" s="23">
        <f>INT(($E5-100000*$G5-10000*$H5-1000*$I5)/100)</f>
        <v>9</v>
      </c>
      <c r="K5" s="23">
        <f>INT(($E5-100000*$G5-10000*$H5-1000*$I5-100*$J5)/10)</f>
        <v>1</v>
      </c>
      <c r="L5" s="23">
        <f>INT(($E5-100000*$G5-10000*$H5-1000*$I5-100*$J5-10*$K5))</f>
        <v>5</v>
      </c>
      <c r="M5" s="24">
        <v>2</v>
      </c>
      <c r="N5" s="12" t="s">
        <v>199</v>
      </c>
      <c r="O5" s="26">
        <f>65+K5+10*LOG10(70+L5)+10*LOG10(100/(100+J5*20))</f>
        <v>80.279032320494807</v>
      </c>
      <c r="P5" s="24">
        <f>IF(N5="",0,IF(EXACT(RIGHT(N5,5),"dB(A)"),IF(ABS(VALUE(LEFT(N5,FIND(" ",N5,1)))-O5)&lt;=0.5,1,-1),-1))</f>
        <v>1</v>
      </c>
      <c r="Q5" s="12" t="s">
        <v>200</v>
      </c>
      <c r="R5" s="26">
        <f>10*LOG10(10^((80+G5)/10)*(10+L5)*1000/16/3600+10^((85+H5)/10)*(10+K5)*3000/16/3600+10^((90+J5)/10)*(10+J5)*100/16/3600)</f>
        <v>89.42607174911997</v>
      </c>
      <c r="S5" s="24">
        <f>IF(Q5="",0,IF(EXACT(RIGHT(Q5,5),"dB(A)"),IF(ABS(VALUE(LEFT(Q5,FIND(" ",Q5,1)))-R5)&lt;=0.5,1,-1),-1))</f>
        <v>1</v>
      </c>
      <c r="T5" s="12" t="s">
        <v>201</v>
      </c>
      <c r="U5" s="30">
        <f>4*(500+K5*10+L5)/(400+J5*10)/340*SQRT(8192/4/0.1)</f>
        <v>1.769527023730926</v>
      </c>
      <c r="V5" s="24">
        <f>IF(T5="",0,IF(EXACT(RIGHT(T5,2)," s"),IF(ABS(VALUE(LEFT(T5,FIND(" ",T5,1)))-U5)&lt;=0.005,1,-1),-1))</f>
        <v>1</v>
      </c>
      <c r="W5" s="12">
        <v>8192</v>
      </c>
      <c r="X5" s="36">
        <f>8*2^(5+L5)</f>
        <v>8192</v>
      </c>
      <c r="Y5" s="24">
        <f>IF(W5="",0,IF(ABS(W5-X5)&lt;=1,1,-1))</f>
        <v>1</v>
      </c>
      <c r="Z5" s="12" t="s">
        <v>202</v>
      </c>
      <c r="AA5" s="26">
        <f>10*LOG10(10^((60+L5-39.4)/10)+10^((63+L5-26.2)/10)+10^((66+L5-16.1)/10)+10^((69+L5-8.6)/10)+10^((72+L5-3.2)/10)+10^((75+L5)/10)+10^((78+L5+1.2)/10)+10^((81+L5+1)/10)+10^((84+L5-1.1)/10)+10^((87+L5-6.6)/10))</f>
        <v>92.684202566927439</v>
      </c>
      <c r="AB5" s="24">
        <f>IF(Z5="",0,IF(EXACT(RIGHT(Z5,5),"dB(A)"),IF(ABS(VALUE(LEFT(Z5,FIND(" ",Z5,1)))-AA5)&lt;=0.2,1,-1),-1))</f>
        <v>1</v>
      </c>
      <c r="AC5" s="12" t="s">
        <v>203</v>
      </c>
      <c r="AD5" s="26">
        <f>10*LOG10((10^((60+L5)/10)*(1+J5)+10^((65+K5)/10)*(2+I5/3))/(1+J5+2+I5/3))</f>
        <v>65.272400428453722</v>
      </c>
      <c r="AE5" s="24">
        <f>IF(AC5="",0,IF(EXACT(RIGHT(AC5,5),"dB(A)"),IF(ABS(VALUE(LEFT(AC5,FIND(" ",AC5,1)))-AD5)&lt;=0.5,1,-1),-1))</f>
        <v>1</v>
      </c>
      <c r="AF5" s="12" t="s">
        <v>204</v>
      </c>
      <c r="AG5" s="26">
        <f>90+K5+10*LOG10(4/(0.16*(300+J5*20)/(1+L5/10)))+3</f>
        <v>82.927900303521312</v>
      </c>
      <c r="AH5" s="24">
        <f>IF(AF5="",0,IF(EXACT(RIGHT(AF5,2),"dB"),IF(ABS(VALUE(LEFT(AF5,FIND(" ",AF5,1)))-AG5)&lt;=0.5,1,-1),-1))</f>
        <v>1</v>
      </c>
      <c r="AI5" s="12" t="s">
        <v>205</v>
      </c>
      <c r="AJ5" s="26">
        <f>10*LOG10(3+40*(2*SQRT(((10+K5)/2)^2+(3+L5/10)^2)-(10+K5))*100*(1+J5)/340)</f>
        <v>23.852707375562737</v>
      </c>
      <c r="AK5" s="24">
        <f>IF(AI5="",0,IF(EXACT(RIGHT(AI5,2),"dB"),IF(ABS(VALUE(LEFT(AI5,FIND(" ",AI5,1)))-AJ5)&lt;=0.5,1,-1),-1))</f>
        <v>1</v>
      </c>
      <c r="AL5" s="12" t="s">
        <v>206</v>
      </c>
      <c r="AM5" s="26">
        <f>80+L5-(80+K5)</f>
        <v>4</v>
      </c>
      <c r="AN5" s="24">
        <f>IF(AL5="",0,IF(EXACT(RIGHT(AL5,2),"dB"),IF(ABS(VALUE(LEFT(AL5,FIND(" ",AL5,1)))-AM5)&lt;=0.5,1,-1),-1))</f>
        <v>1</v>
      </c>
      <c r="AO5" s="12" t="s">
        <v>207</v>
      </c>
      <c r="AP5" s="30">
        <f>((2^(5+L5))/2+1)/48</f>
        <v>10.6875</v>
      </c>
      <c r="AQ5" s="24">
        <f>IF(AO5="",0,IF(EXACT(RIGHT(AO5,2),"ms"),IF(ABS(VALUE(LEFT(AO5,FIND(" ",AO5,1)))-AP5)/AP5&lt;=0.02,1,-1),-1))</f>
        <v>1</v>
      </c>
      <c r="AR5" s="39">
        <f>M5+P5+S5+V5+Y5+AB5+AE5+AH5+AK5+AN5+AQ5</f>
        <v>12</v>
      </c>
    </row>
    <row r="6" spans="1:48" ht="13.2">
      <c r="A6" s="41">
        <v>4</v>
      </c>
      <c r="B6" s="42">
        <v>41992.763516122686</v>
      </c>
      <c r="C6" s="12" t="s">
        <v>208</v>
      </c>
      <c r="D6" s="12" t="s">
        <v>209</v>
      </c>
      <c r="E6" s="12">
        <v>240826</v>
      </c>
      <c r="F6" s="23">
        <v>1</v>
      </c>
      <c r="G6" s="23">
        <f>INT(E6/100000)</f>
        <v>2</v>
      </c>
      <c r="H6" s="23">
        <f>INT(($E6-100000*G6)/10000)</f>
        <v>4</v>
      </c>
      <c r="I6" s="23">
        <f>INT(($E6-100000*G6-10000*H6)/1000)</f>
        <v>0</v>
      </c>
      <c r="J6" s="23">
        <f>INT(($E6-100000*$G6-10000*$H6-1000*$I6)/100)</f>
        <v>8</v>
      </c>
      <c r="K6" s="23">
        <f>INT(($E6-100000*$G6-10000*$H6-1000*$I6-100*$J6)/10)</f>
        <v>2</v>
      </c>
      <c r="L6" s="23">
        <f>INT(($E6-100000*$G6-10000*$H6-1000*$I6-100*$J6-10*$K6))</f>
        <v>6</v>
      </c>
      <c r="M6" s="24">
        <v>2</v>
      </c>
      <c r="N6" s="12" t="s">
        <v>210</v>
      </c>
      <c r="O6" s="26">
        <f>65+K6+10*LOG10(70+L6)+10*LOG10(100/(100+J6*20))</f>
        <v>81.658402443099732</v>
      </c>
      <c r="P6" s="24">
        <f>IF(N6="",0,IF(EXACT(RIGHT(N6,5),"dB(A)"),IF(ABS(VALUE(LEFT(N6,FIND(" ",N6,1)))-O6)&lt;=0.5,1,-1),-1))</f>
        <v>1</v>
      </c>
      <c r="Q6" s="12" t="s">
        <v>211</v>
      </c>
      <c r="R6" s="26">
        <f>10*LOG10(10^((80+G6)/10)*(10+L6)*1000/16/3600+10^((85+H6)/10)*(10+K6)*3000/16/3600+10^((90+J6)/10)*(10+J6)*100/16/3600)</f>
        <v>88.678527769753231</v>
      </c>
      <c r="S6" s="24">
        <f>IF(Q6="",0,IF(EXACT(RIGHT(Q6,5),"dB(A)"),IF(ABS(VALUE(LEFT(Q6,FIND(" ",Q6,1)))-R6)&lt;=0.5,1,-1),-1))</f>
        <v>1</v>
      </c>
      <c r="T6" s="12" t="s">
        <v>212</v>
      </c>
      <c r="U6" s="30">
        <f>4*(500+K6*10+L6)/(400+J6*10)/340*SQRT(8192/4/0.1)</f>
        <v>1.8449753037880621</v>
      </c>
      <c r="V6" s="24">
        <f>IF(T6="",0,IF(EXACT(RIGHT(T6,2)," s"),IF(ABS(VALUE(LEFT(T6,FIND(" ",T6,1)))-U6)&lt;=0.005,1,-1),-1))</f>
        <v>1</v>
      </c>
      <c r="W6" s="12">
        <v>16384</v>
      </c>
      <c r="X6" s="36">
        <f>8*2^(5+L6)</f>
        <v>16384</v>
      </c>
      <c r="Y6" s="24">
        <f>IF(W6="",0,IF(ABS(W6-X6)&lt;=1,1,-1))</f>
        <v>1</v>
      </c>
      <c r="Z6" s="12" t="s">
        <v>213</v>
      </c>
      <c r="AA6" s="26">
        <f>10*LOG10(10^((60+L6-39.4)/10)+10^((63+L6-26.2)/10)+10^((66+L6-16.1)/10)+10^((69+L6-8.6)/10)+10^((72+L6-3.2)/10)+10^((75+L6)/10)+10^((78+L6+1.2)/10)+10^((81+L6+1)/10)+10^((84+L6-1.1)/10)+10^((87+L6-6.6)/10))</f>
        <v>93.684202566927453</v>
      </c>
      <c r="AB6" s="24">
        <f>IF(Z6="",0,IF(EXACT(RIGHT(Z6,5),"dB(A)"),IF(ABS(VALUE(LEFT(Z6,FIND(" ",Z6,1)))-AA6)&lt;=0.2,1,-1),-1))</f>
        <v>1</v>
      </c>
      <c r="AC6" s="12" t="s">
        <v>214</v>
      </c>
      <c r="AD6" s="26">
        <f>10*LOG10((10^((60+L6)/10)*(1+J6)+10^((65+K6)/10)*(2+I6/3))/(1+J6+2+I6/3))</f>
        <v>66.199787641952426</v>
      </c>
      <c r="AE6" s="24">
        <f>IF(AC6="",0,IF(EXACT(RIGHT(AC6,5),"dB(A)"),IF(ABS(VALUE(LEFT(AC6,FIND(" ",AC6,1)))-AD6)&lt;=0.5,1,-1),-1))</f>
        <v>1</v>
      </c>
      <c r="AF6" s="12" t="s">
        <v>215</v>
      </c>
      <c r="AG6" s="26">
        <f>90+K6+10*LOG10(4/(0.16*(300+J6*20)/(1+L6/10)))+3</f>
        <v>84.393021596463882</v>
      </c>
      <c r="AH6" s="24">
        <f>IF(AF6="",0,IF(EXACT(RIGHT(AF6,2),"dB"),IF(ABS(VALUE(LEFT(AF6,FIND(" ",AF6,1)))-AG6)&lt;=0.5,1,-1),-1))</f>
        <v>1</v>
      </c>
      <c r="AI6" s="12" t="s">
        <v>216</v>
      </c>
      <c r="AJ6" s="26">
        <f>10*LOG10(3+40*(2*SQRT(((10+K6)/2)^2+(3+L6/10)^2)-(10+K6))*100*(1+J6)/340)</f>
        <v>23.307374260288498</v>
      </c>
      <c r="AK6" s="24">
        <f>IF(AI6="",0,IF(EXACT(RIGHT(AI6,2),"dB"),IF(ABS(VALUE(LEFT(AI6,FIND(" ",AI6,1)))-AJ6)&lt;=0.5,1,-1),-1))</f>
        <v>1</v>
      </c>
      <c r="AL6" s="12" t="s">
        <v>217</v>
      </c>
      <c r="AM6" s="26">
        <f>80+L6-(80+K6)</f>
        <v>4</v>
      </c>
      <c r="AN6" s="24">
        <f>IF(AL6="",0,IF(EXACT(RIGHT(AL6,2),"dB"),IF(ABS(VALUE(LEFT(AL6,FIND(" ",AL6,1)))-AM6)&lt;=0.5,1,-1),-1))</f>
        <v>1</v>
      </c>
      <c r="AO6" s="12" t="s">
        <v>218</v>
      </c>
      <c r="AP6" s="30">
        <f>((2^(5+L6))/2+1)/48</f>
        <v>21.354166666666668</v>
      </c>
      <c r="AQ6" s="24">
        <f>IF(AO6="",0,IF(EXACT(RIGHT(AO6,2),"ms"),IF(ABS(VALUE(LEFT(AO6,FIND(" ",AO6,1)))-AP6)/AP6&lt;=0.02,1,-1),-1))</f>
        <v>1</v>
      </c>
      <c r="AR6" s="39">
        <f>M6+P6+S6+V6+Y6+AB6+AE6+AH6+AK6+AN6+AQ6</f>
        <v>12</v>
      </c>
    </row>
    <row r="7" spans="1:48" ht="13.2">
      <c r="A7" s="41">
        <v>5</v>
      </c>
      <c r="B7" s="42">
        <v>41992.760045925919</v>
      </c>
      <c r="C7" s="12" t="s">
        <v>219</v>
      </c>
      <c r="D7" s="12" t="s">
        <v>220</v>
      </c>
      <c r="E7" s="12">
        <v>248333</v>
      </c>
      <c r="F7" s="23">
        <v>1</v>
      </c>
      <c r="G7" s="23">
        <f>INT(E7/100000)</f>
        <v>2</v>
      </c>
      <c r="H7" s="23">
        <f>INT(($E7-100000*G7)/10000)</f>
        <v>4</v>
      </c>
      <c r="I7" s="23">
        <f>INT(($E7-100000*G7-10000*H7)/1000)</f>
        <v>8</v>
      </c>
      <c r="J7" s="23">
        <f>INT(($E7-100000*$G7-10000*$H7-1000*$I7)/100)</f>
        <v>3</v>
      </c>
      <c r="K7" s="23">
        <f>INT(($E7-100000*$G7-10000*$H7-1000*$I7-100*$J7)/10)</f>
        <v>3</v>
      </c>
      <c r="L7" s="23">
        <f>INT(($E7-100000*$G7-10000*$H7-1000*$I7-100*$J7-10*$K7))</f>
        <v>3</v>
      </c>
      <c r="M7" s="24">
        <v>2</v>
      </c>
      <c r="N7" s="12" t="s">
        <v>221</v>
      </c>
      <c r="O7" s="26">
        <f>65+K7+10*LOG10(70+L7)+10*LOG10(100/(100+J7*20))</f>
        <v>84.592028774645314</v>
      </c>
      <c r="P7" s="24">
        <f>IF(N7="",0,IF(EXACT(RIGHT(N7,5),"dB(A)"),IF(ABS(VALUE(LEFT(N7,FIND(" ",N7,1)))-O7)&lt;=0.5,1,-1),-1))</f>
        <v>1</v>
      </c>
      <c r="Q7" s="12" t="s">
        <v>222</v>
      </c>
      <c r="R7" s="26">
        <f>10*LOG10(10^((80+G7)/10)*(10+L7)*1000/16/3600+10^((85+H7)/10)*(10+K7)*3000/16/3600+10^((90+J7)/10)*(10+J7)*100/16/3600)</f>
        <v>87.914299448129597</v>
      </c>
      <c r="S7" s="24">
        <f>IF(Q7="",0,IF(EXACT(RIGHT(Q7,5),"dB(A)"),IF(ABS(VALUE(LEFT(Q7,FIND(" ",Q7,1)))-R7)&lt;=0.5,1,-1),-1))</f>
        <v>1</v>
      </c>
      <c r="T7" s="12" t="s">
        <v>223</v>
      </c>
      <c r="U7" s="30">
        <f>4*(500+K7*10+L7)/(400+J7*10)/340*SQRT(8192/4/0.1)</f>
        <v>2.0869152078925532</v>
      </c>
      <c r="V7" s="24">
        <f>IF(T7="",0,IF(EXACT(RIGHT(T7,2)," s"),IF(ABS(VALUE(LEFT(T7,FIND(" ",T7,1)))-U7)&lt;=0.005,1,-1),-1))</f>
        <v>1</v>
      </c>
      <c r="W7" s="12">
        <v>2048</v>
      </c>
      <c r="X7" s="36">
        <f>8*2^(5+L7)</f>
        <v>2048</v>
      </c>
      <c r="Y7" s="24">
        <f>IF(W7="",0,IF(ABS(W7-X7)&lt;=1,1,-1))</f>
        <v>1</v>
      </c>
      <c r="Z7" s="12" t="s">
        <v>224</v>
      </c>
      <c r="AA7" s="26">
        <f>10*LOG10(10^((60+L7-39.4)/10)+10^((63+L7-26.2)/10)+10^((66+L7-16.1)/10)+10^((69+L7-8.6)/10)+10^((72+L7-3.2)/10)+10^((75+L7)/10)+10^((78+L7+1.2)/10)+10^((81+L7+1)/10)+10^((84+L7-1.1)/10)+10^((87+L7-6.6)/10))</f>
        <v>90.684202566927453</v>
      </c>
      <c r="AB7" s="24">
        <f>IF(Z7="",0,IF(EXACT(RIGHT(Z7,5),"dB(A)"),IF(ABS(VALUE(LEFT(Z7,FIND(" ",Z7,1)))-AA7)&lt;=0.2,1,-1),-1))</f>
        <v>1</v>
      </c>
      <c r="AC7" s="12" t="s">
        <v>225</v>
      </c>
      <c r="AD7" s="26">
        <f>10*LOG10((10^((60+L7)/10)*(1+J7)+10^((65+K7)/10)*(2+I7/3))/(1+J7+2+I7/3))</f>
        <v>66.353181327633678</v>
      </c>
      <c r="AE7" s="24">
        <f>IF(AC7="",0,IF(EXACT(RIGHT(AC7,5),"dB(A)"),IF(ABS(VALUE(LEFT(AC7,FIND(" ",AC7,1)))-AD7)&lt;=0.5,1,-1),-1))</f>
        <v>1</v>
      </c>
      <c r="AF7" s="12" t="s">
        <v>226</v>
      </c>
      <c r="AG7" s="26">
        <f>90+K7+10*LOG10(4/(0.16*(300+J7*20)/(1+L7/10)))+3</f>
        <v>85.555808602115874</v>
      </c>
      <c r="AH7" s="24">
        <f>IF(AF7="",0,IF(EXACT(RIGHT(AF7,2),"dB"),IF(ABS(VALUE(LEFT(AF7,FIND(" ",AF7,1)))-AG7)&lt;=0.5,1,-1),-1))</f>
        <v>1</v>
      </c>
      <c r="AI7" s="12" t="s">
        <v>227</v>
      </c>
      <c r="AJ7" s="26">
        <f>10*LOG10(3+40*(2*SQRT(((10+K7)/2)^2+(3+L7/10)^2)-(10+K7))*100*(1+J7)/340)</f>
        <v>18.883282079216343</v>
      </c>
      <c r="AK7" s="24">
        <f>IF(AI7="",0,IF(EXACT(RIGHT(AI7,2),"dB"),IF(ABS(VALUE(LEFT(AI7,FIND(" ",AI7,1)))-AJ7)&lt;=0.5,1,-1),-1))</f>
        <v>1</v>
      </c>
      <c r="AL7" s="12" t="s">
        <v>228</v>
      </c>
      <c r="AM7" s="26">
        <f>80+L7-(80+K7)</f>
        <v>0</v>
      </c>
      <c r="AN7" s="24">
        <f>IF(AL7="",0,IF(EXACT(RIGHT(AL7,2),"dB"),IF(ABS(VALUE(LEFT(AL7,FIND(" ",AL7,1)))-AM7)&lt;=0.5,1,-1),-1))</f>
        <v>1</v>
      </c>
      <c r="AO7" s="12" t="s">
        <v>229</v>
      </c>
      <c r="AP7" s="30">
        <f>((2^(5+L7))/2+1)/48</f>
        <v>2.6875</v>
      </c>
      <c r="AQ7" s="24">
        <f>IF(AO7="",0,IF(EXACT(RIGHT(AO7,2),"ms"),IF(ABS(VALUE(LEFT(AO7,FIND(" ",AO7,1)))-AP7)/AP7&lt;=0.02,1,-1),-1))</f>
        <v>1</v>
      </c>
      <c r="AR7" s="39">
        <f>M7+P7+S7+V7+Y7+AB7+AE7+AH7+AK7+AN7+AQ7</f>
        <v>12</v>
      </c>
    </row>
    <row r="8" spans="1:48" ht="13.2">
      <c r="A8" s="41">
        <v>6</v>
      </c>
      <c r="B8" s="42">
        <v>41992.760061516208</v>
      </c>
      <c r="C8" s="12" t="s">
        <v>230</v>
      </c>
      <c r="D8" s="12" t="s">
        <v>231</v>
      </c>
      <c r="E8" s="12">
        <v>251965</v>
      </c>
      <c r="F8" s="23">
        <v>1</v>
      </c>
      <c r="G8" s="23">
        <f>INT(E8/100000)</f>
        <v>2</v>
      </c>
      <c r="H8" s="23">
        <f>INT(($E8-100000*G8)/10000)</f>
        <v>5</v>
      </c>
      <c r="I8" s="23">
        <f>INT(($E8-100000*G8-10000*H8)/1000)</f>
        <v>1</v>
      </c>
      <c r="J8" s="23">
        <f>INT(($E8-100000*$G8-10000*$H8-1000*$I8)/100)</f>
        <v>9</v>
      </c>
      <c r="K8" s="23">
        <f>INT(($E8-100000*$G8-10000*$H8-1000*$I8-100*$J8)/10)</f>
        <v>6</v>
      </c>
      <c r="L8" s="23">
        <f>INT(($E8-100000*$G8-10000*$H8-1000*$I8-100*$J8-10*$K8))</f>
        <v>5</v>
      </c>
      <c r="M8" s="24">
        <v>2</v>
      </c>
      <c r="N8" s="12" t="s">
        <v>232</v>
      </c>
      <c r="O8" s="26">
        <f>65+K8+10*LOG10(70+L8)+10*LOG10(100/(100+J8*20))</f>
        <v>85.279032320494807</v>
      </c>
      <c r="P8" s="24">
        <f>IF(N8="",0,IF(EXACT(RIGHT(N8,5),"dB(A)"),IF(ABS(VALUE(LEFT(N8,FIND(" ",N8,1)))-O8)&lt;=0.5,1,-1),-1))</f>
        <v>1</v>
      </c>
      <c r="Q8" s="12" t="s">
        <v>233</v>
      </c>
      <c r="R8" s="26">
        <f>10*LOG10(10^((80+G8)/10)*(10+L8)*1000/16/3600+10^((85+H8)/10)*(10+K8)*3000/16/3600+10^((90+J8)/10)*(10+J8)*100/16/3600)</f>
        <v>90.55617046538741</v>
      </c>
      <c r="S8" s="24">
        <f>IF(Q8="",0,IF(EXACT(RIGHT(Q8,5),"dB(A)"),IF(ABS(VALUE(LEFT(Q8,FIND(" ",Q8,1)))-R8)&lt;=0.5,1,-1),-1))</f>
        <v>1</v>
      </c>
      <c r="T8" s="12" t="s">
        <v>234</v>
      </c>
      <c r="U8" s="30">
        <f>4*(500+K8*10+L8)/(400+J8*10)/340*SQRT(8192/4/0.1)</f>
        <v>1.9413257638989774</v>
      </c>
      <c r="V8" s="24">
        <f>IF(T8="",0,IF(EXACT(RIGHT(T8,2)," s"),IF(ABS(VALUE(LEFT(T8,FIND(" ",T8,1)))-U8)&lt;=0.005,1,-1),-1))</f>
        <v>1</v>
      </c>
      <c r="W8" s="12">
        <v>8192</v>
      </c>
      <c r="X8" s="36">
        <f>8*2^(5+L8)</f>
        <v>8192</v>
      </c>
      <c r="Y8" s="24">
        <f>IF(W8="",0,IF(ABS(W8-X8)&lt;=1,1,-1))</f>
        <v>1</v>
      </c>
      <c r="Z8" s="12" t="s">
        <v>235</v>
      </c>
      <c r="AA8" s="26">
        <f>10*LOG10(10^((60+L8-39.4)/10)+10^((63+L8-26.2)/10)+10^((66+L8-16.1)/10)+10^((69+L8-8.6)/10)+10^((72+L8-3.2)/10)+10^((75+L8)/10)+10^((78+L8+1.2)/10)+10^((81+L8+1)/10)+10^((84+L8-1.1)/10)+10^((87+L8-6.6)/10))</f>
        <v>92.684202566927439</v>
      </c>
      <c r="AB8" s="24">
        <f>IF(Z8="",0,IF(EXACT(RIGHT(Z8,5),"dB(A)"),IF(ABS(VALUE(LEFT(Z8,FIND(" ",Z8,1)))-AA8)&lt;=0.2,1,-1),-1))</f>
        <v>1</v>
      </c>
      <c r="AC8" s="12" t="s">
        <v>236</v>
      </c>
      <c r="AD8" s="26">
        <f>10*LOG10((10^((60+L8)/10)*(1+J8)+10^((65+K8)/10)*(2+I8/3))/(1+J8+2+I8/3))</f>
        <v>66.942330107998359</v>
      </c>
      <c r="AE8" s="24">
        <f>IF(AC8="",0,IF(EXACT(RIGHT(AC8,5),"dB(A)"),IF(ABS(VALUE(LEFT(AC8,FIND(" ",AC8,1)))-AD8)&lt;=0.5,1,-1),-1))</f>
        <v>1</v>
      </c>
      <c r="AF8" s="12" t="s">
        <v>237</v>
      </c>
      <c r="AG8" s="26">
        <f>90+K8+10*LOG10(4/(0.16*(300+J8*20)/(1+L8/10)))+3</f>
        <v>87.927900303521312</v>
      </c>
      <c r="AH8" s="24">
        <f>IF(AF8="",0,IF(EXACT(RIGHT(AF8,2),"dB"),IF(ABS(VALUE(LEFT(AF8,FIND(" ",AF8,1)))-AG8)&lt;=0.5,1,-1),-1))</f>
        <v>1</v>
      </c>
      <c r="AI8" s="12" t="s">
        <v>238</v>
      </c>
      <c r="AJ8" s="26">
        <f>10*LOG10(3+40*(2*SQRT(((10+K8)/2)^2+(3+L8/10)^2)-(10+K8))*100*(1+J8)/340)</f>
        <v>22.436942341660419</v>
      </c>
      <c r="AK8" s="24">
        <f>IF(AI8="",0,IF(EXACT(RIGHT(AI8,2),"dB"),IF(ABS(VALUE(LEFT(AI8,FIND(" ",AI8,1)))-AJ8)&lt;=0.5,1,-1),-1))</f>
        <v>1</v>
      </c>
      <c r="AL8" s="12" t="s">
        <v>239</v>
      </c>
      <c r="AM8" s="26">
        <f>80+L8-(80+K8)</f>
        <v>-1</v>
      </c>
      <c r="AN8" s="24">
        <f>IF(AL8="",0,IF(EXACT(RIGHT(AL8,2),"dB"),IF(ABS(VALUE(LEFT(AL8,FIND(" ",AL8,1)))-AM8)&lt;=0.5,1,-1),-1))</f>
        <v>1</v>
      </c>
      <c r="AO8" s="12" t="s">
        <v>240</v>
      </c>
      <c r="AP8" s="30">
        <f>((2^(5+L8))/2+1)/48</f>
        <v>10.6875</v>
      </c>
      <c r="AQ8" s="24">
        <f>IF(AO8="",0,IF(EXACT(RIGHT(AO8,2),"ms"),IF(ABS(VALUE(LEFT(AO8,FIND(" ",AO8,1)))-AP8)/AP8&lt;=0.02,1,-1),-1))</f>
        <v>1</v>
      </c>
      <c r="AR8" s="39">
        <f>M8+P8+S8+V8+Y8+AB8+AE8+AH8+AK8+AN8+AQ8</f>
        <v>12</v>
      </c>
    </row>
    <row r="9" spans="1:48" ht="13.2">
      <c r="A9" s="41">
        <v>7</v>
      </c>
      <c r="B9" s="42">
        <v>41992.76291824074</v>
      </c>
      <c r="C9" s="12" t="s">
        <v>328</v>
      </c>
      <c r="D9" s="12" t="s">
        <v>329</v>
      </c>
      <c r="E9" s="12">
        <v>239609</v>
      </c>
      <c r="F9" s="23">
        <v>1</v>
      </c>
      <c r="G9" s="23">
        <f>INT(E9/100000)</f>
        <v>2</v>
      </c>
      <c r="H9" s="23">
        <f>INT(($E9-100000*G9)/10000)</f>
        <v>3</v>
      </c>
      <c r="I9" s="23">
        <f>INT(($E9-100000*G9-10000*H9)/1000)</f>
        <v>9</v>
      </c>
      <c r="J9" s="23">
        <f>INT(($E9-100000*$G9-10000*$H9-1000*$I9)/100)</f>
        <v>6</v>
      </c>
      <c r="K9" s="23">
        <f>INT(($E9-100000*$G9-10000*$H9-1000*$I9-100*$J9)/10)</f>
        <v>0</v>
      </c>
      <c r="L9" s="23">
        <f>INT(($E9-100000*$G9-10000*$H9-1000*$I9-100*$J9-10*$K9))</f>
        <v>9</v>
      </c>
      <c r="M9" s="24">
        <v>2</v>
      </c>
      <c r="N9" s="12" t="s">
        <v>330</v>
      </c>
      <c r="O9" s="26">
        <f>65+K9+10*LOG10(70+L9)+10*LOG10(100/(100+J9*20))</f>
        <v>80.552044104682352</v>
      </c>
      <c r="P9" s="24">
        <f>IF(N9="",0,IF(EXACT(RIGHT(N9,5),"dB(A)"),IF(ABS(VALUE(LEFT(N9,FIND(" ",N9,1)))-O9)&lt;=0.5,1,-1),-1))</f>
        <v>1</v>
      </c>
      <c r="Q9" s="12" t="s">
        <v>331</v>
      </c>
      <c r="R9" s="26">
        <f>10*LOG10(10^((80+G9)/10)*(10+L9)*1000/16/3600+10^((85+H9)/10)*(10+K9)*3000/16/3600+10^((90+J9)/10)*(10+J9)*100/16/3600)</f>
        <v>86.915132765998038</v>
      </c>
      <c r="S9" s="24">
        <f>IF(Q9="",0,IF(EXACT(RIGHT(Q9,5),"dB(A)"),IF(ABS(VALUE(LEFT(Q9,FIND(" ",Q9,1)))-R9)&lt;=0.5,1,-1),-1))</f>
        <v>1</v>
      </c>
      <c r="T9" s="12" t="s">
        <v>332</v>
      </c>
      <c r="U9" s="30">
        <f>4*(500+K9*10+L9)/(400+J9*10)/340*SQRT(8192/4/0.1)</f>
        <v>1.8629705993614616</v>
      </c>
      <c r="V9" s="24">
        <f>IF(T9="",0,IF(EXACT(RIGHT(T9,2)," s"),IF(ABS(VALUE(LEFT(T9,FIND(" ",T9,1)))-U9)&lt;=0.005,1,-1),-1))</f>
        <v>1</v>
      </c>
      <c r="W9" s="12">
        <v>131072</v>
      </c>
      <c r="X9" s="36">
        <f>8*2^(5+L9)</f>
        <v>131072</v>
      </c>
      <c r="Y9" s="24">
        <f>IF(W9="",0,IF(ABS(W9-X9)&lt;=1,1,-1))</f>
        <v>1</v>
      </c>
      <c r="Z9" s="12" t="s">
        <v>333</v>
      </c>
      <c r="AA9" s="26">
        <f>10*LOG10(10^((60+L9-39.4)/10)+10^((63+L9-26.2)/10)+10^((66+L9-16.1)/10)+10^((69+L9-8.6)/10)+10^((72+L9-3.2)/10)+10^((75+L9)/10)+10^((78+L9+1.2)/10)+10^((81+L9+1)/10)+10^((84+L9-1.1)/10)+10^((87+L9-6.6)/10))</f>
        <v>96.684202566927439</v>
      </c>
      <c r="AB9" s="24">
        <f>IF(Z9="",0,IF(EXACT(RIGHT(Z9,5),"dB(A)"),IF(ABS(VALUE(LEFT(Z9,FIND(" ",Z9,1)))-AA9)&lt;=0.2,1,-1),-1))</f>
        <v>1</v>
      </c>
      <c r="AC9" s="12" t="s">
        <v>334</v>
      </c>
      <c r="AD9" s="26">
        <f>10*LOG10((10^((60+L9)/10)*(1+J9)+10^((65+K9)/10)*(2+I9/3))/(1+J9+2+I9/3))</f>
        <v>67.74604331221164</v>
      </c>
      <c r="AE9" s="24">
        <f>IF(AC9="",0,IF(EXACT(RIGHT(AC9,5),"dB(A)"),IF(ABS(VALUE(LEFT(AC9,FIND(" ",AC9,1)))-AD9)&lt;=0.5,1,-1),-1))</f>
        <v>1</v>
      </c>
      <c r="AF9" s="12" t="s">
        <v>335</v>
      </c>
      <c r="AG9" s="26">
        <f>90+K9+10*LOG10(4/(0.16*(300+J9*20)/(1+L9/10)))+3</f>
        <v>83.534443192269663</v>
      </c>
      <c r="AH9" s="24">
        <f>IF(AF9="",0,IF(EXACT(RIGHT(AF9,2),"dB"),IF(ABS(VALUE(LEFT(AF9,FIND(" ",AF9,1)))-AG9)&lt;=0.5,1,-1),-1))</f>
        <v>1</v>
      </c>
      <c r="AI9" s="12" t="s">
        <v>336</v>
      </c>
      <c r="AJ9" s="26">
        <f>10*LOG10(3+40*(2*SQRT(((10+K9)/2)^2+(3+L9/10)^2)-(10+K9))*100*(1+J9)/340)</f>
        <v>23.500403474141372</v>
      </c>
      <c r="AK9" s="24">
        <f>IF(AI9="",0,IF(EXACT(RIGHT(AI9,2),"dB"),IF(ABS(VALUE(LEFT(AI9,FIND(" ",AI9,1)))-AJ9)&lt;=0.5,1,-1),-1))</f>
        <v>1</v>
      </c>
      <c r="AL9" s="12" t="s">
        <v>337</v>
      </c>
      <c r="AM9" s="26">
        <f>80+L9-(80+K9)</f>
        <v>9</v>
      </c>
      <c r="AN9" s="24">
        <f>IF(AL9="",0,IF(EXACT(RIGHT(AL9,2),"dB"),IF(ABS(VALUE(LEFT(AL9,FIND(" ",AL9,1)))-AM9)&lt;=0.5,1,-1),-1))</f>
        <v>1</v>
      </c>
      <c r="AO9" s="12" t="s">
        <v>338</v>
      </c>
      <c r="AP9" s="30">
        <f>((2^(5+L9))/2+1)/48</f>
        <v>170.6875</v>
      </c>
      <c r="AQ9" s="24">
        <f>IF(AO9="",0,IF(EXACT(RIGHT(AO9,2),"ms"),IF(ABS(VALUE(LEFT(AO9,FIND(" ",AO9,1)))-AP9)/AP9&lt;=0.02,1,-1),-1))</f>
        <v>1</v>
      </c>
      <c r="AR9" s="39">
        <f>M9+P9+S9+V9+Y9+AB9+AE9+AH9+AK9+AN9+AQ9</f>
        <v>12</v>
      </c>
    </row>
    <row r="10" spans="1:48" ht="13.2">
      <c r="A10" s="41">
        <v>8</v>
      </c>
      <c r="B10" s="42">
        <v>41992.763995266207</v>
      </c>
      <c r="C10" s="12" t="s">
        <v>603</v>
      </c>
      <c r="D10" s="12" t="s">
        <v>604</v>
      </c>
      <c r="E10" s="12">
        <v>243209</v>
      </c>
      <c r="F10" s="23">
        <v>1</v>
      </c>
      <c r="G10" s="23">
        <f>INT(E10/100000)</f>
        <v>2</v>
      </c>
      <c r="H10" s="23">
        <f>INT(($E10-100000*G10)/10000)</f>
        <v>4</v>
      </c>
      <c r="I10" s="23">
        <f>INT(($E10-100000*G10-10000*H10)/1000)</f>
        <v>3</v>
      </c>
      <c r="J10" s="23">
        <f>INT(($E10-100000*$G10-10000*$H10-1000*$I10)/100)</f>
        <v>2</v>
      </c>
      <c r="K10" s="23">
        <f>INT(($E10-100000*$G10-10000*$H10-1000*$I10-100*$J10)/10)</f>
        <v>0</v>
      </c>
      <c r="L10" s="23">
        <f>INT(($E10-100000*$G10-10000*$H10-1000*$I10-100*$J10-10*$K10))</f>
        <v>9</v>
      </c>
      <c r="M10" s="24">
        <v>2</v>
      </c>
      <c r="N10" s="12" t="s">
        <v>605</v>
      </c>
      <c r="O10" s="26">
        <f>65+K10+10*LOG10(70+L10)+10*LOG10(100/(100+J10*20))</f>
        <v>82.514990556122029</v>
      </c>
      <c r="P10" s="24">
        <f>IF(N10="",0,IF(EXACT(RIGHT(N10,5),"dB(A)"),IF(ABS(VALUE(LEFT(N10,FIND(" ",N10,1)))-O10)&lt;=0.5,1,-1),-1))</f>
        <v>1</v>
      </c>
      <c r="Q10" s="12" t="s">
        <v>606</v>
      </c>
      <c r="R10" s="26">
        <f>10*LOG10(10^((80+G10)/10)*(10+L10)*1000/16/3600+10^((85+H10)/10)*(10+K10)*3000/16/3600+10^((90+J10)/10)*(10+J10)*100/16/3600)</f>
        <v>86.981098522840696</v>
      </c>
      <c r="S10" s="24">
        <f>IF(Q10="",0,IF(EXACT(RIGHT(Q10,5),"dB(A)"),IF(ABS(VALUE(LEFT(Q10,FIND(" ",Q10,1)))-R10)&lt;=0.5,1,-1),-1))</f>
        <v>1</v>
      </c>
      <c r="T10" s="12" t="s">
        <v>607</v>
      </c>
      <c r="U10" s="30">
        <f>4*(500+K10*10+L10)/(400+J10*10)/340*SQRT(8192/4/0.1)</f>
        <v>2.0403963707292196</v>
      </c>
      <c r="V10" s="24">
        <f>IF(T10="",0,IF(EXACT(RIGHT(T10,2)," s"),IF(ABS(VALUE(LEFT(T10,FIND(" ",T10,1)))-U10)&lt;=0.005,1,-1),-1))</f>
        <v>1</v>
      </c>
      <c r="W10" s="12">
        <v>131072</v>
      </c>
      <c r="X10" s="36">
        <f>8*2^(5+L10)</f>
        <v>131072</v>
      </c>
      <c r="Y10" s="24">
        <f>IF(W10="",0,IF(ABS(W10-X10)&lt;=1,1,-1))</f>
        <v>1</v>
      </c>
      <c r="Z10" s="12" t="s">
        <v>608</v>
      </c>
      <c r="AA10" s="26">
        <f>10*LOG10(10^((60+L10-39.4)/10)+10^((63+L10-26.2)/10)+10^((66+L10-16.1)/10)+10^((69+L10-8.6)/10)+10^((72+L10-3.2)/10)+10^((75+L10)/10)+10^((78+L10+1.2)/10)+10^((81+L10+1)/10)+10^((84+L10-1.1)/10)+10^((87+L10-6.6)/10))</f>
        <v>96.684202566927439</v>
      </c>
      <c r="AB10" s="24">
        <f>IF(Z10="",0,IF(EXACT(RIGHT(Z10,5),"dB(A)"),IF(ABS(VALUE(LEFT(Z10,FIND(" ",Z10,1)))-AA10)&lt;=0.2,1,-1),-1))</f>
        <v>1</v>
      </c>
      <c r="AC10" s="12" t="s">
        <v>609</v>
      </c>
      <c r="AD10" s="26">
        <f>10*LOG10((10^((60+L10)/10)*(1+J10)+10^((65+K10)/10)*(2+I10/3))/(1+J10+2+I10/3))</f>
        <v>67.445104674453134</v>
      </c>
      <c r="AE10" s="24">
        <f>IF(AC10="",0,IF(EXACT(RIGHT(AC10,5),"dB(A)"),IF(ABS(VALUE(LEFT(AC10,FIND(" ",AC10,1)))-AD10)&lt;=0.5,1,-1),-1))</f>
        <v>1</v>
      </c>
      <c r="AF10" s="12" t="s">
        <v>610</v>
      </c>
      <c r="AG10" s="26">
        <f>90+K10+10*LOG10(4/(0.16*(300+J10*20)/(1+L10/10)))+3</f>
        <v>84.452146925826113</v>
      </c>
      <c r="AH10" s="24">
        <f>IF(AF10="",0,IF(EXACT(RIGHT(AF10,2),"dB"),IF(ABS(VALUE(LEFT(AF10,FIND(" ",AF10,1)))-AG10)&lt;=0.5,1,-1),-1))</f>
        <v>1</v>
      </c>
      <c r="AI10" s="12" t="s">
        <v>611</v>
      </c>
      <c r="AJ10" s="26">
        <f>10*LOG10(3+40*(2*SQRT(((10+K10)/2)^2+(3+L10/10)^2)-(10+K10))*100*(1+J10)/340)</f>
        <v>19.897540349912457</v>
      </c>
      <c r="AK10" s="24">
        <f>IF(AI10="",0,IF(EXACT(RIGHT(AI10,2),"dB"),IF(ABS(VALUE(LEFT(AI10,FIND(" ",AI10,1)))-AJ10)&lt;=0.5,1,-1),-1))</f>
        <v>1</v>
      </c>
      <c r="AL10" s="12" t="s">
        <v>612</v>
      </c>
      <c r="AM10" s="26">
        <f>80+L10-(80+K10)</f>
        <v>9</v>
      </c>
      <c r="AN10" s="24">
        <f>IF(AL10="",0,IF(EXACT(RIGHT(AL10,2),"dB"),IF(ABS(VALUE(LEFT(AL10,FIND(" ",AL10,1)))-AM10)&lt;=0.5,1,-1),-1))</f>
        <v>1</v>
      </c>
      <c r="AO10" s="12" t="s">
        <v>613</v>
      </c>
      <c r="AP10" s="30">
        <f>((2^(5+L10))/2+1)/48</f>
        <v>170.6875</v>
      </c>
      <c r="AQ10" s="24">
        <f>IF(AO10="",0,IF(EXACT(RIGHT(AO10,2),"ms"),IF(ABS(VALUE(LEFT(AO10,FIND(" ",AO10,1)))-AP10)/AP10&lt;=0.02,1,-1),-1))</f>
        <v>1</v>
      </c>
      <c r="AR10" s="39">
        <f>M10+P10+S10+V10+Y10+AB10+AE10+AH10+AK10+AN10+AQ10</f>
        <v>12</v>
      </c>
    </row>
    <row r="11" spans="1:48" ht="13.2">
      <c r="A11" s="41">
        <v>9</v>
      </c>
      <c r="B11" s="42">
        <v>41992.764275578702</v>
      </c>
      <c r="C11" s="12" t="s">
        <v>623</v>
      </c>
      <c r="D11" s="12" t="s">
        <v>624</v>
      </c>
      <c r="E11" s="12">
        <v>243617</v>
      </c>
      <c r="F11" s="23">
        <v>1</v>
      </c>
      <c r="G11" s="23">
        <f>INT(E11/100000)</f>
        <v>2</v>
      </c>
      <c r="H11" s="23">
        <f>INT(($E11-100000*G11)/10000)</f>
        <v>4</v>
      </c>
      <c r="I11" s="23">
        <f>INT(($E11-100000*G11-10000*H11)/1000)</f>
        <v>3</v>
      </c>
      <c r="J11" s="23">
        <f>INT(($E11-100000*$G11-10000*$H11-1000*$I11)/100)</f>
        <v>6</v>
      </c>
      <c r="K11" s="23">
        <f>INT(($E11-100000*$G11-10000*$H11-1000*$I11-100*$J11)/10)</f>
        <v>1</v>
      </c>
      <c r="L11" s="23">
        <f>INT(($E11-100000*$G11-10000*$H11-1000*$I11-100*$J11-10*$K11))</f>
        <v>7</v>
      </c>
      <c r="M11" s="24">
        <v>2</v>
      </c>
      <c r="N11" s="12" t="s">
        <v>625</v>
      </c>
      <c r="O11" s="26">
        <f>65+K11+10*LOG10(70+L11)+10*LOG10(100/(100+J11*20))</f>
        <v>81.440680443502757</v>
      </c>
      <c r="P11" s="24">
        <f>IF(N11="",0,IF(EXACT(RIGHT(N11,5),"dB(A)"),IF(ABS(VALUE(LEFT(N11,FIND(" ",N11,1)))-O11)&lt;=0.5,1,-1),-1))</f>
        <v>1</v>
      </c>
      <c r="Q11" s="12" t="s">
        <v>626</v>
      </c>
      <c r="R11" s="26">
        <f>10*LOG10(10^((80+G11)/10)*(10+L11)*1000/16/3600+10^((85+H11)/10)*(10+K11)*3000/16/3600+10^((90+J11)/10)*(10+J11)*100/16/3600)</f>
        <v>87.870674984706142</v>
      </c>
      <c r="S11" s="24">
        <f>IF(Q11="",0,IF(EXACT(RIGHT(Q11,5),"dB(A)"),IF(ABS(VALUE(LEFT(Q11,FIND(" ",Q11,1)))-R11)&lt;=0.5,1,-1),-1))</f>
        <v>1</v>
      </c>
      <c r="T11" s="12" t="s">
        <v>627</v>
      </c>
      <c r="U11" s="30">
        <f>4*(500+K11*10+L11)/(400+J11*10)/340*SQRT(8192/4/0.1)</f>
        <v>1.8922510802944514</v>
      </c>
      <c r="V11" s="24">
        <f>IF(T11="",0,IF(EXACT(RIGHT(T11,2)," s"),IF(ABS(VALUE(LEFT(T11,FIND(" ",T11,1)))-U11)&lt;=0.005,1,-1),-1))</f>
        <v>1</v>
      </c>
      <c r="W11" s="12">
        <v>32768</v>
      </c>
      <c r="X11" s="36">
        <f>8*2^(5+L11)</f>
        <v>32768</v>
      </c>
      <c r="Y11" s="24">
        <f>IF(W11="",0,IF(ABS(W11-X11)&lt;=1,1,-1))</f>
        <v>1</v>
      </c>
      <c r="Z11" s="12" t="s">
        <v>628</v>
      </c>
      <c r="AA11" s="26">
        <f>10*LOG10(10^((60+L11-39.4)/10)+10^((63+L11-26.2)/10)+10^((66+L11-16.1)/10)+10^((69+L11-8.6)/10)+10^((72+L11-3.2)/10)+10^((75+L11)/10)+10^((78+L11+1.2)/10)+10^((81+L11+1)/10)+10^((84+L11-1.1)/10)+10^((87+L11-6.6)/10))</f>
        <v>94.684202566927453</v>
      </c>
      <c r="AB11" s="24">
        <f>IF(Z11="",0,IF(EXACT(RIGHT(Z11,5),"dB(A)"),IF(ABS(VALUE(LEFT(Z11,FIND(" ",Z11,1)))-AA11)&lt;=0.2,1,-1),-1))</f>
        <v>1</v>
      </c>
      <c r="AC11" s="12" t="s">
        <v>629</v>
      </c>
      <c r="AD11" s="26">
        <f>10*LOG10((10^((60+L11)/10)*(1+J11)+10^((65+K11)/10)*(2+I11/3))/(1+J11+2+I11/3))</f>
        <v>66.723410083540188</v>
      </c>
      <c r="AE11" s="24">
        <f>IF(AC11="",0,IF(EXACT(RIGHT(AC11,5),"dB(A)"),IF(ABS(VALUE(LEFT(AC11,FIND(" ",AC11,1)))-AD11)&lt;=0.5,1,-1),-1))</f>
        <v>1</v>
      </c>
      <c r="AF11" s="12" t="s">
        <v>630</v>
      </c>
      <c r="AG11" s="26">
        <f>90+K11+10*LOG10(4/(0.16*(300+J11*20)/(1+L11/10)))+3</f>
        <v>84.051396396524112</v>
      </c>
      <c r="AH11" s="24">
        <f>IF(AF11="",0,IF(EXACT(RIGHT(AF11,2),"dB"),IF(ABS(VALUE(LEFT(AF11,FIND(" ",AF11,1)))-AG11)&lt;=0.5,1,-1),-1))</f>
        <v>1</v>
      </c>
      <c r="AI11" s="12" t="s">
        <v>631</v>
      </c>
      <c r="AJ11" s="26">
        <f>10*LOG10(3+40*(2*SQRT(((10+K11)/2)^2+(3+L11/10)^2)-(10+K11))*100*(1+J11)/340)</f>
        <v>22.762496779163016</v>
      </c>
      <c r="AK11" s="24">
        <f>IF(AI11="",0,IF(EXACT(RIGHT(AI11,2),"dB"),IF(ABS(VALUE(LEFT(AI11,FIND(" ",AI11,1)))-AJ11)&lt;=0.5,1,-1),-1))</f>
        <v>1</v>
      </c>
      <c r="AL11" s="12" t="s">
        <v>632</v>
      </c>
      <c r="AM11" s="26">
        <f>80+L11-(80+K11)</f>
        <v>6</v>
      </c>
      <c r="AN11" s="24">
        <f>IF(AL11="",0,IF(EXACT(RIGHT(AL11,2),"dB"),IF(ABS(VALUE(LEFT(AL11,FIND(" ",AL11,1)))-AM11)&lt;=0.5,1,-1),-1))</f>
        <v>1</v>
      </c>
      <c r="AO11" s="12" t="s">
        <v>633</v>
      </c>
      <c r="AP11" s="30">
        <f>((2^(5+L11))/2+1)/48</f>
        <v>42.6875</v>
      </c>
      <c r="AQ11" s="24">
        <f>IF(AO11="",0,IF(EXACT(RIGHT(AO11,2),"ms"),IF(ABS(VALUE(LEFT(AO11,FIND(" ",AO11,1)))-AP11)/AP11&lt;=0.02,1,-1),-1))</f>
        <v>1</v>
      </c>
      <c r="AR11" s="39">
        <f>M11+P11+S11+V11+Y11+AB11+AE11+AH11+AK11+AN11+AQ11</f>
        <v>12</v>
      </c>
    </row>
    <row r="12" spans="1:48" ht="13.2">
      <c r="A12" s="41">
        <v>10</v>
      </c>
      <c r="B12" s="42">
        <v>41992.765058252313</v>
      </c>
      <c r="C12" s="12" t="s">
        <v>713</v>
      </c>
      <c r="D12" s="12" t="s">
        <v>714</v>
      </c>
      <c r="E12" s="12">
        <v>256688</v>
      </c>
      <c r="F12" s="23">
        <v>1</v>
      </c>
      <c r="G12" s="23">
        <f>INT(E12/100000)</f>
        <v>2</v>
      </c>
      <c r="H12" s="23">
        <f>INT(($E12-100000*G12)/10000)</f>
        <v>5</v>
      </c>
      <c r="I12" s="23">
        <f>INT(($E12-100000*G12-10000*H12)/1000)</f>
        <v>6</v>
      </c>
      <c r="J12" s="23">
        <f>INT(($E12-100000*$G12-10000*$H12-1000*$I12)/100)</f>
        <v>6</v>
      </c>
      <c r="K12" s="23">
        <f>INT(($E12-100000*$G12-10000*$H12-1000*$I12-100*$J12)/10)</f>
        <v>8</v>
      </c>
      <c r="L12" s="23">
        <f>INT(($E12-100000*$G12-10000*$H12-1000*$I12-100*$J12-10*$K12))</f>
        <v>8</v>
      </c>
      <c r="M12" s="24">
        <v>2</v>
      </c>
      <c r="N12" s="12" t="s">
        <v>715</v>
      </c>
      <c r="O12" s="26">
        <f>65+K12+10*LOG10(70+L12)+10*LOG10(100/(100+J12*20))</f>
        <v>88.496719218682742</v>
      </c>
      <c r="P12" s="24">
        <f>IF(N12="",0,IF(EXACT(RIGHT(N12,5),"dB(A)"),IF(ABS(VALUE(LEFT(N12,FIND(" ",N12,1)))-O12)&lt;=0.5,1,-1),-1))</f>
        <v>1</v>
      </c>
      <c r="Q12" s="12" t="s">
        <v>716</v>
      </c>
      <c r="R12" s="26">
        <f>10*LOG10(10^((80+G12)/10)*(10+L12)*1000/16/3600+10^((85+H12)/10)*(10+K12)*3000/16/3600+10^((90+J12)/10)*(10+J12)*100/16/3600)</f>
        <v>90.404493360658421</v>
      </c>
      <c r="S12" s="24">
        <f>IF(Q12="",0,IF(EXACT(RIGHT(Q12,5),"dB(A)"),IF(ABS(VALUE(LEFT(Q12,FIND(" ",Q12,1)))-R12)&lt;=0.5,1,-1),-1))</f>
        <v>1</v>
      </c>
      <c r="T12" s="12" t="s">
        <v>717</v>
      </c>
      <c r="U12" s="30">
        <f>4*(500+K12*10+L12)/(400+J12*10)/340*SQRT(8192/4/0.1)</f>
        <v>2.1521153485747337</v>
      </c>
      <c r="V12" s="24">
        <f>IF(T12="",0,IF(EXACT(RIGHT(T12,2)," s"),IF(ABS(VALUE(LEFT(T12,FIND(" ",T12,1)))-U12)&lt;=0.005,1,-1),-1))</f>
        <v>1</v>
      </c>
      <c r="W12" s="12">
        <v>65536</v>
      </c>
      <c r="X12" s="36">
        <f>8*2^(5+L12)</f>
        <v>65536</v>
      </c>
      <c r="Y12" s="24">
        <f>IF(W12="",0,IF(ABS(W12-X12)&lt;=1,1,-1))</f>
        <v>1</v>
      </c>
      <c r="Z12" s="12" t="s">
        <v>718</v>
      </c>
      <c r="AA12" s="26">
        <f>10*LOG10(10^((60+L12-39.4)/10)+10^((63+L12-26.2)/10)+10^((66+L12-16.1)/10)+10^((69+L12-8.6)/10)+10^((72+L12-3.2)/10)+10^((75+L12)/10)+10^((78+L12+1.2)/10)+10^((81+L12+1)/10)+10^((84+L12-1.1)/10)+10^((87+L12-6.6)/10))</f>
        <v>95.684202566927453</v>
      </c>
      <c r="AB12" s="24">
        <f>IF(Z12="",0,IF(EXACT(RIGHT(Z12,5),"dB(A)"),IF(ABS(VALUE(LEFT(Z12,FIND(" ",Z12,1)))-AA12)&lt;=0.2,1,-1),-1))</f>
        <v>1</v>
      </c>
      <c r="AC12" s="12" t="s">
        <v>719</v>
      </c>
      <c r="AD12" s="26">
        <f>10*LOG10((10^((60+L12)/10)*(1+J12)+10^((65+K12)/10)*(2+I12/3))/(1+J12+2+I12/3))</f>
        <v>70.519502129329211</v>
      </c>
      <c r="AE12" s="24">
        <f>IF(AC12="",0,IF(EXACT(RIGHT(AC12,5),"dB(A)"),IF(ABS(VALUE(LEFT(AC12,FIND(" ",AC12,1)))-AD12)&lt;=0.5,1,-1),-1))</f>
        <v>1</v>
      </c>
      <c r="AF12" s="12" t="s">
        <v>720</v>
      </c>
      <c r="AG12" s="26">
        <f>90+K12+10*LOG10(4/(0.16*(300+J12*20)/(1+L12/10)))+3</f>
        <v>91.299632233774432</v>
      </c>
      <c r="AH12" s="24">
        <f>IF(AF12="",0,IF(EXACT(RIGHT(AF12,2),"dB"),IF(ABS(VALUE(LEFT(AF12,FIND(" ",AF12,1)))-AG12)&lt;=0.5,1,-1),-1))</f>
        <v>1</v>
      </c>
      <c r="AI12" s="12" t="s">
        <v>721</v>
      </c>
      <c r="AJ12" s="26">
        <f>10*LOG10(3+40*(2*SQRT(((10+K12)/2)^2+(3+L12/10)^2)-(10+K12))*100*(1+J12)/340)</f>
        <v>21.129894952557908</v>
      </c>
      <c r="AK12" s="24">
        <f>IF(AI12="",0,IF(EXACT(RIGHT(AI12,2),"dB"),IF(ABS(VALUE(LEFT(AI12,FIND(" ",AI12,1)))-AJ12)&lt;=0.5,1,-1),-1))</f>
        <v>1</v>
      </c>
      <c r="AL12" s="12" t="s">
        <v>722</v>
      </c>
      <c r="AM12" s="26">
        <f>80+L12-(80+K12)</f>
        <v>0</v>
      </c>
      <c r="AN12" s="24">
        <f>IF(AL12="",0,IF(EXACT(RIGHT(AL12,2),"dB"),IF(ABS(VALUE(LEFT(AL12,FIND(" ",AL12,1)))-AM12)&lt;=0.5,1,-1),-1))</f>
        <v>1</v>
      </c>
      <c r="AO12" s="12" t="s">
        <v>723</v>
      </c>
      <c r="AP12" s="30">
        <f>((2^(5+L12))/2+1)/48</f>
        <v>85.354166666666671</v>
      </c>
      <c r="AQ12" s="24">
        <f>IF(AO12="",0,IF(EXACT(RIGHT(AO12,2),"ms"),IF(ABS(VALUE(LEFT(AO12,FIND(" ",AO12,1)))-AP12)/AP12&lt;=0.02,1,-1),-1))</f>
        <v>1</v>
      </c>
      <c r="AR12" s="39">
        <f>M12+P12+S12+V12+Y12+AB12+AE12+AH12+AK12+AN12+AQ12</f>
        <v>12</v>
      </c>
    </row>
    <row r="13" spans="1:48" ht="13.2">
      <c r="A13" s="41">
        <v>11</v>
      </c>
      <c r="B13" s="42">
        <v>41992.765122199075</v>
      </c>
      <c r="C13" s="12" t="s">
        <v>735</v>
      </c>
      <c r="D13" s="12" t="s">
        <v>736</v>
      </c>
      <c r="E13" s="12">
        <v>239316</v>
      </c>
      <c r="F13" s="23">
        <v>1</v>
      </c>
      <c r="G13" s="23">
        <f>INT(E13/100000)</f>
        <v>2</v>
      </c>
      <c r="H13" s="23">
        <f>INT(($E13-100000*G13)/10000)</f>
        <v>3</v>
      </c>
      <c r="I13" s="23">
        <f>INT(($E13-100000*G13-10000*H13)/1000)</f>
        <v>9</v>
      </c>
      <c r="J13" s="23">
        <f>INT(($E13-100000*$G13-10000*$H13-1000*$I13)/100)</f>
        <v>3</v>
      </c>
      <c r="K13" s="23">
        <f>INT(($E13-100000*$G13-10000*$H13-1000*$I13-100*$J13)/10)</f>
        <v>1</v>
      </c>
      <c r="L13" s="23">
        <f>INT(($E13-100000*$G13-10000*$H13-1000*$I13-100*$J13-10*$K13))</f>
        <v>6</v>
      </c>
      <c r="M13" s="24">
        <v>2</v>
      </c>
      <c r="N13" s="12" t="s">
        <v>737</v>
      </c>
      <c r="O13" s="26">
        <f>65+K13+10*LOG10(70+L13)+10*LOG10(100/(100+J13*20))</f>
        <v>82.766936096248656</v>
      </c>
      <c r="P13" s="24">
        <f>IF(N13="",0,IF(EXACT(RIGHT(N13,5),"dB(A)"),IF(ABS(VALUE(LEFT(N13,FIND(" ",N13,1)))-O13)&lt;=0.5,1,-1),-1))</f>
        <v>1</v>
      </c>
      <c r="Q13" s="12" t="s">
        <v>738</v>
      </c>
      <c r="R13" s="26">
        <f>10*LOG10(10^((80+G13)/10)*(10+L13)*1000/16/3600+10^((85+H13)/10)*(10+K13)*3000/16/3600+10^((90+J13)/10)*(10+J13)*100/16/3600)</f>
        <v>86.537360069708186</v>
      </c>
      <c r="S13" s="24">
        <f>IF(Q13="",0,IF(EXACT(RIGHT(Q13,5),"dB(A)"),IF(ABS(VALUE(LEFT(Q13,FIND(" ",Q13,1)))-R13)&lt;=0.5,1,-1),-1))</f>
        <v>1</v>
      </c>
      <c r="T13" s="12" t="s">
        <v>739</v>
      </c>
      <c r="U13" s="30">
        <f>4*(500+K13*10+L13)/(400+J13*10)/340*SQRT(8192/4/0.1)</f>
        <v>2.0203531843762805</v>
      </c>
      <c r="V13" s="24">
        <f>IF(T13="",0,IF(EXACT(RIGHT(T13,2)," s"),IF(ABS(VALUE(LEFT(T13,FIND(" ",T13,1)))-U13)&lt;=0.005,1,-1),-1))</f>
        <v>1</v>
      </c>
      <c r="W13" s="12">
        <v>16384</v>
      </c>
      <c r="X13" s="36">
        <f>8*2^(5+L13)</f>
        <v>16384</v>
      </c>
      <c r="Y13" s="24">
        <f>IF(W13="",0,IF(ABS(W13-X13)&lt;=1,1,-1))</f>
        <v>1</v>
      </c>
      <c r="Z13" s="12" t="s">
        <v>740</v>
      </c>
      <c r="AA13" s="26">
        <f>10*LOG10(10^((60+L13-39.4)/10)+10^((63+L13-26.2)/10)+10^((66+L13-16.1)/10)+10^((69+L13-8.6)/10)+10^((72+L13-3.2)/10)+10^((75+L13)/10)+10^((78+L13+1.2)/10)+10^((81+L13+1)/10)+10^((84+L13-1.1)/10)+10^((87+L13-6.6)/10))</f>
        <v>93.684202566927453</v>
      </c>
      <c r="AB13" s="24">
        <f>IF(Z13="",0,IF(EXACT(RIGHT(Z13,5),"dB(A)"),IF(ABS(VALUE(LEFT(Z13,FIND(" ",Z13,1)))-AA13)&lt;=0.2,1,-1),-1))</f>
        <v>1</v>
      </c>
      <c r="AC13" s="12" t="s">
        <v>741</v>
      </c>
      <c r="AD13" s="26">
        <f>10*LOG10((10^((60+L13)/10)*(1+J13)+10^((65+K13)/10)*(2+I13/3))/(1+J13+2+I13/3))</f>
        <v>66</v>
      </c>
      <c r="AE13" s="24">
        <f>IF(AC13="",0,IF(EXACT(RIGHT(AC13,5),"dB(A)"),IF(ABS(VALUE(LEFT(AC13,FIND(" ",AC13,1)))-AD13)&lt;=0.5,1,-1),-1))</f>
        <v>1</v>
      </c>
      <c r="AF13" s="12" t="s">
        <v>742</v>
      </c>
      <c r="AG13" s="26">
        <f>90+K13+10*LOG10(4/(0.16*(300+J13*20)/(1+L13/10)))+3</f>
        <v>84.457574905606748</v>
      </c>
      <c r="AH13" s="24">
        <f>IF(AF13="",0,IF(EXACT(RIGHT(AF13,2),"dB"),IF(ABS(VALUE(LEFT(AF13,FIND(" ",AF13,1)))-AG13)&lt;=0.5,1,-1),-1))</f>
        <v>1</v>
      </c>
      <c r="AI13" s="12" t="s">
        <v>743</v>
      </c>
      <c r="AJ13" s="26">
        <f>10*LOG10(3+40*(2*SQRT(((10+K13)/2)^2+(3+L13/10)^2)-(10+K13))*100*(1+J13)/340)</f>
        <v>20.171537349077159</v>
      </c>
      <c r="AK13" s="24">
        <f>IF(AI13="",0,IF(EXACT(RIGHT(AI13,2),"dB"),IF(ABS(VALUE(LEFT(AI13,FIND(" ",AI13,1)))-AJ13)&lt;=0.5,1,-1),-1))</f>
        <v>1</v>
      </c>
      <c r="AL13" s="12" t="s">
        <v>744</v>
      </c>
      <c r="AM13" s="26">
        <f>80+L13-(80+K13)</f>
        <v>5</v>
      </c>
      <c r="AN13" s="24">
        <f>IF(AL13="",0,IF(EXACT(RIGHT(AL13,2),"dB"),IF(ABS(VALUE(LEFT(AL13,FIND(" ",AL13,1)))-AM13)&lt;=0.5,1,-1),-1))</f>
        <v>1</v>
      </c>
      <c r="AO13" s="12" t="s">
        <v>745</v>
      </c>
      <c r="AP13" s="30">
        <f>((2^(5+L13))/2+1)/48</f>
        <v>21.354166666666668</v>
      </c>
      <c r="AQ13" s="24">
        <f>IF(AO13="",0,IF(EXACT(RIGHT(AO13,2),"ms"),IF(ABS(VALUE(LEFT(AO13,FIND(" ",AO13,1)))-AP13)/AP13&lt;=0.02,1,-1),-1))</f>
        <v>1</v>
      </c>
      <c r="AR13" s="39">
        <f>M13+P13+S13+V13+Y13+AB13+AE13+AH13+AK13+AN13+AQ13</f>
        <v>12</v>
      </c>
    </row>
    <row r="14" spans="1:48" ht="13.2">
      <c r="A14" s="41">
        <v>12</v>
      </c>
      <c r="B14" s="42">
        <v>41992.765621307874</v>
      </c>
      <c r="C14" s="12" t="s">
        <v>826</v>
      </c>
      <c r="D14" s="12" t="s">
        <v>827</v>
      </c>
      <c r="E14" s="12">
        <v>239523</v>
      </c>
      <c r="F14" s="23">
        <v>1</v>
      </c>
      <c r="G14" s="23">
        <f>INT(E14/100000)</f>
        <v>2</v>
      </c>
      <c r="H14" s="23">
        <f>INT(($E14-100000*G14)/10000)</f>
        <v>3</v>
      </c>
      <c r="I14" s="23">
        <f>INT(($E14-100000*G14-10000*H14)/1000)</f>
        <v>9</v>
      </c>
      <c r="J14" s="23">
        <f>INT(($E14-100000*$G14-10000*$H14-1000*$I14)/100)</f>
        <v>5</v>
      </c>
      <c r="K14" s="23">
        <f>INT(($E14-100000*$G14-10000*$H14-1000*$I14-100*$J14)/10)</f>
        <v>2</v>
      </c>
      <c r="L14" s="23">
        <f>INT(($E14-100000*$G14-10000*$H14-1000*$I14-100*$J14-10*$K14))</f>
        <v>3</v>
      </c>
      <c r="M14" s="24">
        <v>2</v>
      </c>
      <c r="N14" s="12" t="s">
        <v>828</v>
      </c>
      <c r="O14" s="26">
        <f>65+K14+10*LOG10(70+L14)+10*LOG10(100/(100+J14*20))</f>
        <v>82.622928644564752</v>
      </c>
      <c r="P14" s="24">
        <f>IF(N14="",0,IF(EXACT(RIGHT(N14,5),"dB(A)"),IF(ABS(VALUE(LEFT(N14,FIND(" ",N14,1)))-O14)&lt;=0.5,1,-1),-1))</f>
        <v>1</v>
      </c>
      <c r="Q14" s="12" t="s">
        <v>829</v>
      </c>
      <c r="R14" s="26">
        <f>10*LOG10(10^((80+G14)/10)*(10+L14)*1000/16/3600+10^((85+H14)/10)*(10+K14)*3000/16/3600+10^((90+J14)/10)*(10+J14)*100/16/3600)</f>
        <v>87.096680060995411</v>
      </c>
      <c r="S14" s="24">
        <f>IF(Q14="",0,IF(EXACT(RIGHT(Q14,5),"dB(A)"),IF(ABS(VALUE(LEFT(Q14,FIND(" ",Q14,1)))-R14)&lt;=0.5,1,-1),-1))</f>
        <v>1</v>
      </c>
      <c r="T14" s="12" t="s">
        <v>830</v>
      </c>
      <c r="U14" s="30">
        <f>4*(500+K14*10+L14)/(400+J14*10)/340*SQRT(8192/4/0.1)</f>
        <v>1.9567494730162867</v>
      </c>
      <c r="V14" s="24">
        <f>IF(T14="",0,IF(EXACT(RIGHT(T14,2)," s"),IF(ABS(VALUE(LEFT(T14,FIND(" ",T14,1)))-U14)&lt;=0.005,1,-1),-1))</f>
        <v>1</v>
      </c>
      <c r="W14" s="12">
        <v>2048</v>
      </c>
      <c r="X14" s="36">
        <f>8*2^(5+L14)</f>
        <v>2048</v>
      </c>
      <c r="Y14" s="24">
        <f>IF(W14="",0,IF(ABS(W14-X14)&lt;=1,1,-1))</f>
        <v>1</v>
      </c>
      <c r="Z14" s="12" t="s">
        <v>831</v>
      </c>
      <c r="AA14" s="26">
        <f>10*LOG10(10^((60+L14-39.4)/10)+10^((63+L14-26.2)/10)+10^((66+L14-16.1)/10)+10^((69+L14-8.6)/10)+10^((72+L14-3.2)/10)+10^((75+L14)/10)+10^((78+L14+1.2)/10)+10^((81+L14+1)/10)+10^((84+L14-1.1)/10)+10^((87+L14-6.6)/10))</f>
        <v>90.684202566927453</v>
      </c>
      <c r="AB14" s="24">
        <f>IF(Z14="",0,IF(EXACT(RIGHT(Z14,5),"dB(A)"),IF(ABS(VALUE(LEFT(Z14,FIND(" ",Z14,1)))-AA14)&lt;=0.2,1,-1),-1))</f>
        <v>1</v>
      </c>
      <c r="AC14" s="12" t="s">
        <v>832</v>
      </c>
      <c r="AD14" s="26">
        <f>10*LOG10((10^((60+L14)/10)*(1+J14)+10^((65+K14)/10)*(2+I14/3))/(1+J14+2+I14/3))</f>
        <v>65.271719992991805</v>
      </c>
      <c r="AE14" s="24">
        <f>IF(AC14="",0,IF(EXACT(RIGHT(AC14,5),"dB(A)"),IF(ABS(VALUE(LEFT(AC14,FIND(" ",AC14,1)))-AD14)&lt;=0.5,1,-1),-1))</f>
        <v>1</v>
      </c>
      <c r="AF14" s="12" t="s">
        <v>833</v>
      </c>
      <c r="AG14" s="26">
        <f>90+K14+10*LOG10(4/(0.16*(300+J14*20)/(1+L14/10)))+3</f>
        <v>84.098233696509112</v>
      </c>
      <c r="AH14" s="24">
        <f>IF(AF14="",0,IF(EXACT(RIGHT(AF14,2),"dB"),IF(ABS(VALUE(LEFT(AF14,FIND(" ",AF14,1)))-AG14)&lt;=0.5,1,-1),-1))</f>
        <v>1</v>
      </c>
      <c r="AI14" s="12" t="s">
        <v>834</v>
      </c>
      <c r="AJ14" s="26">
        <f>10*LOG10(3+40*(2*SQRT(((10+K14)/2)^2+(3+L14/10)^2)-(10+K14))*100*(1+J14)/340)</f>
        <v>20.887207846205548</v>
      </c>
      <c r="AK14" s="24">
        <f>IF(AI14="",0,IF(EXACT(RIGHT(AI14,2),"dB"),IF(ABS(VALUE(LEFT(AI14,FIND(" ",AI14,1)))-AJ14)&lt;=0.5,1,-1),-1))</f>
        <v>1</v>
      </c>
      <c r="AL14" s="12" t="s">
        <v>835</v>
      </c>
      <c r="AM14" s="26">
        <f>80+L14-(80+K14)</f>
        <v>1</v>
      </c>
      <c r="AN14" s="24">
        <f>IF(AL14="",0,IF(EXACT(RIGHT(AL14,2),"dB"),IF(ABS(VALUE(LEFT(AL14,FIND(" ",AL14,1)))-AM14)&lt;=0.5,1,-1),-1))</f>
        <v>1</v>
      </c>
      <c r="AO14" s="12" t="s">
        <v>836</v>
      </c>
      <c r="AP14" s="30">
        <f>((2^(5+L14))/2+1)/48</f>
        <v>2.6875</v>
      </c>
      <c r="AQ14" s="24">
        <f>IF(AO14="",0,IF(EXACT(RIGHT(AO14,2),"ms"),IF(ABS(VALUE(LEFT(AO14,FIND(" ",AO14,1)))-AP14)/AP14&lt;=0.02,1,-1),-1))</f>
        <v>1</v>
      </c>
      <c r="AR14" s="39">
        <f>M14+P14+S14+V14+Y14+AB14+AE14+AH14+AK14+AN14+AQ14</f>
        <v>12</v>
      </c>
    </row>
    <row r="15" spans="1:48" ht="13.2">
      <c r="A15" s="41">
        <v>13</v>
      </c>
      <c r="B15" s="42">
        <v>41992.765628587964</v>
      </c>
      <c r="C15" s="12" t="s">
        <v>837</v>
      </c>
      <c r="D15" s="12" t="s">
        <v>838</v>
      </c>
      <c r="E15" s="12">
        <v>256146</v>
      </c>
      <c r="F15" s="23">
        <v>1</v>
      </c>
      <c r="G15" s="23">
        <f>INT(E15/100000)</f>
        <v>2</v>
      </c>
      <c r="H15" s="23">
        <f>INT(($E15-100000*G15)/10000)</f>
        <v>5</v>
      </c>
      <c r="I15" s="23">
        <f>INT(($E15-100000*G15-10000*H15)/1000)</f>
        <v>6</v>
      </c>
      <c r="J15" s="23">
        <f>INT(($E15-100000*$G15-10000*$H15-1000*$I15)/100)</f>
        <v>1</v>
      </c>
      <c r="K15" s="23">
        <f>INT(($E15-100000*$G15-10000*$H15-1000*$I15-100*$J15)/10)</f>
        <v>4</v>
      </c>
      <c r="L15" s="23">
        <f>INT(($E15-100000*$G15-10000*$H15-1000*$I15-100*$J15-10*$K15))</f>
        <v>6</v>
      </c>
      <c r="M15" s="24">
        <v>2</v>
      </c>
      <c r="N15" s="12" t="s">
        <v>839</v>
      </c>
      <c r="O15" s="26">
        <f>65+K15+10*LOG10(70+L15)+10*LOG10(100/(100+J15*20))</f>
        <v>87.016323462331655</v>
      </c>
      <c r="P15" s="24">
        <f>IF(N15="",0,IF(EXACT(RIGHT(N15,5),"dB(A)"),IF(ABS(VALUE(LEFT(N15,FIND(" ",N15,1)))-O15)&lt;=0.5,1,-1),-1))</f>
        <v>1</v>
      </c>
      <c r="Q15" s="12" t="s">
        <v>840</v>
      </c>
      <c r="R15" s="26">
        <f>10*LOG10(10^((80+G15)/10)*(10+L15)*1000/16/3600+10^((85+H15)/10)*(10+K15)*3000/16/3600+10^((90+J15)/10)*(10+J15)*100/16/3600)</f>
        <v>89.015855155878597</v>
      </c>
      <c r="S15" s="24">
        <f>IF(Q15="",0,IF(EXACT(RIGHT(Q15,5),"dB(A)"),IF(ABS(VALUE(LEFT(Q15,FIND(" ",Q15,1)))-R15)&lt;=0.5,1,-1),-1))</f>
        <v>1</v>
      </c>
      <c r="T15" s="12" t="s">
        <v>841</v>
      </c>
      <c r="U15" s="30">
        <f>4*(500+K15*10+L15)/(400+J15*10)/340*SQRT(8192/4/0.1)</f>
        <v>2.2420992655883114</v>
      </c>
      <c r="V15" s="24">
        <f>IF(T15="",0,IF(EXACT(RIGHT(T15,2)," s"),IF(ABS(VALUE(LEFT(T15,FIND(" ",T15,1)))-U15)&lt;=0.005,1,-1),-1))</f>
        <v>1</v>
      </c>
      <c r="W15" s="12">
        <v>16384</v>
      </c>
      <c r="X15" s="36">
        <f>8*2^(5+L15)</f>
        <v>16384</v>
      </c>
      <c r="Y15" s="24">
        <f>IF(W15="",0,IF(ABS(W15-X15)&lt;=1,1,-1))</f>
        <v>1</v>
      </c>
      <c r="Z15" s="12" t="s">
        <v>842</v>
      </c>
      <c r="AA15" s="26">
        <f>10*LOG10(10^((60+L15-39.4)/10)+10^((63+L15-26.2)/10)+10^((66+L15-16.1)/10)+10^((69+L15-8.6)/10)+10^((72+L15-3.2)/10)+10^((75+L15)/10)+10^((78+L15+1.2)/10)+10^((81+L15+1)/10)+10^((84+L15-1.1)/10)+10^((87+L15-6.6)/10))</f>
        <v>93.684202566927453</v>
      </c>
      <c r="AB15" s="24">
        <f>IF(Z15="",0,IF(EXACT(RIGHT(Z15,5),"dB(A)"),IF(ABS(VALUE(LEFT(Z15,FIND(" ",Z15,1)))-AA15)&lt;=0.2,1,-1),-1))</f>
        <v>1</v>
      </c>
      <c r="AC15" s="12" t="s">
        <v>843</v>
      </c>
      <c r="AD15" s="26">
        <f>10*LOG10((10^((60+L15)/10)*(1+J15)+10^((65+K15)/10)*(2+I15/3))/(1+J15+2+I15/3))</f>
        <v>68.210249486012273</v>
      </c>
      <c r="AE15" s="24">
        <f>IF(AC15="",0,IF(EXACT(RIGHT(AC15,5),"dB(A)"),IF(ABS(VALUE(LEFT(AC15,FIND(" ",AC15,1)))-AD15)&lt;=0.5,1,-1),-1))</f>
        <v>1</v>
      </c>
      <c r="AF15" s="12" t="s">
        <v>844</v>
      </c>
      <c r="AG15" s="26">
        <f>90+K15+10*LOG10(4/(0.16*(300+J15*20)/(1+L15/10)))+3</f>
        <v>87.969100130080562</v>
      </c>
      <c r="AH15" s="24">
        <f>IF(AF15="",0,IF(EXACT(RIGHT(AF15,2),"dB"),IF(ABS(VALUE(LEFT(AF15,FIND(" ",AF15,1)))-AG15)&lt;=0.5,1,-1),-1))</f>
        <v>1</v>
      </c>
      <c r="AI15" s="12" t="s">
        <v>845</v>
      </c>
      <c r="AJ15" s="26">
        <f>10*LOG10(3+40*(2*SQRT(((10+K15)/2)^2+(3+L15/10)^2)-(10+K15))*100*(1+J15)/340)</f>
        <v>16.435536726559853</v>
      </c>
      <c r="AK15" s="24">
        <f>IF(AI15="",0,IF(EXACT(RIGHT(AI15,2),"dB"),IF(ABS(VALUE(LEFT(AI15,FIND(" ",AI15,1)))-AJ15)&lt;=0.5,1,-1),-1))</f>
        <v>1</v>
      </c>
      <c r="AL15" s="12" t="s">
        <v>846</v>
      </c>
      <c r="AM15" s="26">
        <f>80+L15-(80+K15)</f>
        <v>2</v>
      </c>
      <c r="AN15" s="24">
        <f>IF(AL15="",0,IF(EXACT(RIGHT(AL15,2),"dB"),IF(ABS(VALUE(LEFT(AL15,FIND(" ",AL15,1)))-AM15)&lt;=0.5,1,-1),-1))</f>
        <v>1</v>
      </c>
      <c r="AO15" s="12" t="s">
        <v>847</v>
      </c>
      <c r="AP15" s="30">
        <f>((2^(5+L15))/2+1)/48</f>
        <v>21.354166666666668</v>
      </c>
      <c r="AQ15" s="24">
        <f>IF(AO15="",0,IF(EXACT(RIGHT(AO15,2),"ms"),IF(ABS(VALUE(LEFT(AO15,FIND(" ",AO15,1)))-AP15)/AP15&lt;=0.02,1,-1),-1))</f>
        <v>1</v>
      </c>
      <c r="AR15" s="39">
        <f>M15+P15+S15+V15+Y15+AB15+AE15+AH15+AK15+AN15+AQ15</f>
        <v>12</v>
      </c>
    </row>
    <row r="16" spans="1:48" ht="13.2">
      <c r="A16" s="41">
        <v>14</v>
      </c>
      <c r="B16" s="42">
        <v>41992.765861469903</v>
      </c>
      <c r="C16" s="12" t="s">
        <v>908</v>
      </c>
      <c r="D16" s="12" t="s">
        <v>909</v>
      </c>
      <c r="E16" s="12">
        <v>239314</v>
      </c>
      <c r="F16" s="23">
        <v>1</v>
      </c>
      <c r="G16" s="23">
        <f>INT(E16/100000)</f>
        <v>2</v>
      </c>
      <c r="H16" s="23">
        <f>INT(($E16-100000*G16)/10000)</f>
        <v>3</v>
      </c>
      <c r="I16" s="23">
        <f>INT(($E16-100000*G16-10000*H16)/1000)</f>
        <v>9</v>
      </c>
      <c r="J16" s="23">
        <f>INT(($E16-100000*$G16-10000*$H16-1000*$I16)/100)</f>
        <v>3</v>
      </c>
      <c r="K16" s="23">
        <f>INT(($E16-100000*$G16-10000*$H16-1000*$I16-100*$J16)/10)</f>
        <v>1</v>
      </c>
      <c r="L16" s="23">
        <f>INT(($E16-100000*$G16-10000*$H16-1000*$I16-100*$J16-10*$K16))</f>
        <v>4</v>
      </c>
      <c r="M16" s="24">
        <v>2</v>
      </c>
      <c r="N16" s="12" t="s">
        <v>910</v>
      </c>
      <c r="O16" s="26">
        <f>65+K16+10*LOG10(70+L16)+10*LOG10(100/(100+J16*20))</f>
        <v>82.651117370750512</v>
      </c>
      <c r="P16" s="24">
        <f>IF(N16="",0,IF(EXACT(RIGHT(N16,5),"dB(A)"),IF(ABS(VALUE(LEFT(N16,FIND(" ",N16,1)))-O16)&lt;=0.5,1,-1),-1))</f>
        <v>1</v>
      </c>
      <c r="Q16" s="12" t="s">
        <v>911</v>
      </c>
      <c r="R16" s="26">
        <f>10*LOG10(10^((80+G16)/10)*(10+L16)*1000/16/3600+10^((85+H16)/10)*(10+K16)*3000/16/3600+10^((90+J16)/10)*(10+J16)*100/16/3600)</f>
        <v>86.483987054977945</v>
      </c>
      <c r="S16" s="24">
        <f>IF(Q16="",0,IF(EXACT(RIGHT(Q16,5),"dB(A)"),IF(ABS(VALUE(LEFT(Q16,FIND(" ",Q16,1)))-R16)&lt;=0.5,1,-1),-1))</f>
        <v>1</v>
      </c>
      <c r="T16" s="12" t="s">
        <v>912</v>
      </c>
      <c r="U16" s="30">
        <f>4*(500+K16*10+L16)/(400+J16*10)/340*SQRT(8192/4/0.1)</f>
        <v>2.0125223580802487</v>
      </c>
      <c r="V16" s="24">
        <f>IF(T16="",0,IF(EXACT(RIGHT(T16,2)," s"),IF(ABS(VALUE(LEFT(T16,FIND(" ",T16,1)))-U16)&lt;=0.005,1,-1),-1))</f>
        <v>1</v>
      </c>
      <c r="W16" s="12">
        <v>4096</v>
      </c>
      <c r="X16" s="36">
        <f>8*2^(5+L16)</f>
        <v>4096</v>
      </c>
      <c r="Y16" s="24">
        <f>IF(W16="",0,IF(ABS(W16-X16)&lt;=1,1,-1))</f>
        <v>1</v>
      </c>
      <c r="Z16" s="12" t="s">
        <v>913</v>
      </c>
      <c r="AA16" s="26">
        <f>10*LOG10(10^((60+L16-39.4)/10)+10^((63+L16-26.2)/10)+10^((66+L16-16.1)/10)+10^((69+L16-8.6)/10)+10^((72+L16-3.2)/10)+10^((75+L16)/10)+10^((78+L16+1.2)/10)+10^((81+L16+1)/10)+10^((84+L16-1.1)/10)+10^((87+L16-6.6)/10))</f>
        <v>91.684202566927439</v>
      </c>
      <c r="AB16" s="24">
        <f>IF(Z16="",0,IF(EXACT(RIGHT(Z16,5),"dB(A)"),IF(ABS(VALUE(LEFT(Z16,FIND(" ",Z16,1)))-AA16)&lt;=0.2,1,-1),-1))</f>
        <v>1</v>
      </c>
      <c r="AC16" s="12" t="s">
        <v>914</v>
      </c>
      <c r="AD16" s="26">
        <f>10*LOG10((10^((60+L16)/10)*(1+J16)+10^((65+K16)/10)*(2+I16/3))/(1+J16+2+I16/3))</f>
        <v>65.221964288122635</v>
      </c>
      <c r="AE16" s="24">
        <f>IF(AC16="",0,IF(EXACT(RIGHT(AC16,5),"dB(A)"),IF(ABS(VALUE(LEFT(AC16,FIND(" ",AC16,1)))-AD16)&lt;=0.5,1,-1),-1))</f>
        <v>1</v>
      </c>
      <c r="AF16" s="12" t="s">
        <v>915</v>
      </c>
      <c r="AG16" s="26">
        <f>90+K16+10*LOG10(4/(0.16*(300+J16*20)/(1+L16/10)))+3</f>
        <v>83.87765543582988</v>
      </c>
      <c r="AH16" s="24">
        <f>IF(AF16="",0,IF(EXACT(RIGHT(AF16,2),"dB"),IF(ABS(VALUE(LEFT(AF16,FIND(" ",AF16,1)))-AG16)&lt;=0.5,1,-1),-1))</f>
        <v>1</v>
      </c>
      <c r="AI16" s="12" t="s">
        <v>916</v>
      </c>
      <c r="AJ16" s="26">
        <f>10*LOG10(3+40*(2*SQRT(((10+K16)/2)^2+(3+L16/10)^2)-(10+K16))*100*(1+J16)/340)</f>
        <v>19.727756068387947</v>
      </c>
      <c r="AK16" s="24">
        <f>IF(AI16="",0,IF(EXACT(RIGHT(AI16,2),"dB"),IF(ABS(VALUE(LEFT(AI16,FIND(" ",AI16,1)))-AJ16)&lt;=0.5,1,-1),-1))</f>
        <v>1</v>
      </c>
      <c r="AL16" s="12" t="s">
        <v>917</v>
      </c>
      <c r="AM16" s="26">
        <f>80+L16-(80+K16)</f>
        <v>3</v>
      </c>
      <c r="AN16" s="24">
        <f>IF(AL16="",0,IF(EXACT(RIGHT(AL16,2),"dB"),IF(ABS(VALUE(LEFT(AL16,FIND(" ",AL16,1)))-AM16)&lt;=0.5,1,-1),-1))</f>
        <v>1</v>
      </c>
      <c r="AO16" s="12" t="s">
        <v>918</v>
      </c>
      <c r="AP16" s="30">
        <f>((2^(5+L16))/2+1)/48</f>
        <v>5.354166666666667</v>
      </c>
      <c r="AQ16" s="24">
        <f>IF(AO16="",0,IF(EXACT(RIGHT(AO16,2),"ms"),IF(ABS(VALUE(LEFT(AO16,FIND(" ",AO16,1)))-AP16)/AP16&lt;=0.02,1,-1),-1))</f>
        <v>1</v>
      </c>
      <c r="AR16" s="39">
        <f>M16+P16+S16+V16+Y16+AB16+AE16+AH16+AK16+AN16+AQ16</f>
        <v>12</v>
      </c>
    </row>
    <row r="17" spans="1:44" ht="13.2">
      <c r="A17" s="41">
        <v>15</v>
      </c>
      <c r="B17" s="42">
        <v>41992.765924780091</v>
      </c>
      <c r="C17" s="12" t="s">
        <v>928</v>
      </c>
      <c r="D17" s="12" t="s">
        <v>929</v>
      </c>
      <c r="E17" s="12">
        <v>245117</v>
      </c>
      <c r="F17" s="23">
        <v>1</v>
      </c>
      <c r="G17" s="23">
        <f>INT(E17/100000)</f>
        <v>2</v>
      </c>
      <c r="H17" s="23">
        <f>INT(($E17-100000*G17)/10000)</f>
        <v>4</v>
      </c>
      <c r="I17" s="23">
        <f>INT(($E17-100000*G17-10000*H17)/1000)</f>
        <v>5</v>
      </c>
      <c r="J17" s="23">
        <f>INT(($E17-100000*$G17-10000*$H17-1000*$I17)/100)</f>
        <v>1</v>
      </c>
      <c r="K17" s="23">
        <f>INT(($E17-100000*$G17-10000*$H17-1000*$I17-100*$J17)/10)</f>
        <v>1</v>
      </c>
      <c r="L17" s="23">
        <f>INT(($E17-100000*$G17-10000*$H17-1000*$I17-100*$J17-10*$K17))</f>
        <v>7</v>
      </c>
      <c r="M17" s="24">
        <v>2</v>
      </c>
      <c r="N17" s="12" t="s">
        <v>930</v>
      </c>
      <c r="O17" s="26">
        <f>65+K17+10*LOG10(70+L17)+10*LOG10(100/(100+J17*20))</f>
        <v>84.073094791248565</v>
      </c>
      <c r="P17" s="24">
        <f>IF(N17="",0,IF(EXACT(RIGHT(N17,5),"dB(A)"),IF(ABS(VALUE(LEFT(N17,FIND(" ",N17,1)))-O17)&lt;=0.5,1,-1),-1))</f>
        <v>1</v>
      </c>
      <c r="Q17" s="12" t="s">
        <v>931</v>
      </c>
      <c r="R17" s="26">
        <f>10*LOG10(10^((80+G17)/10)*(10+L17)*1000/16/3600+10^((85+H17)/10)*(10+K17)*3000/16/3600+10^((90+J17)/10)*(10+J17)*100/16/3600)</f>
        <v>87.209050077544518</v>
      </c>
      <c r="S17" s="24">
        <f>IF(Q17="",0,IF(EXACT(RIGHT(Q17,5),"dB(A)"),IF(ABS(VALUE(LEFT(Q17,FIND(" ",Q17,1)))-R17)&lt;=0.5,1,-1),-1))</f>
        <v>1</v>
      </c>
      <c r="T17" s="12" t="s">
        <v>932</v>
      </c>
      <c r="U17" s="30">
        <f>4*(500+K17*10+L17)/(400+J17*10)/340*SQRT(8192/4/0.1)</f>
        <v>2.1230134071596285</v>
      </c>
      <c r="V17" s="24">
        <f>IF(T17="",0,IF(EXACT(RIGHT(T17,2)," s"),IF(ABS(VALUE(LEFT(T17,FIND(" ",T17,1)))-U17)&lt;=0.005,1,-1),-1))</f>
        <v>1</v>
      </c>
      <c r="W17" s="12">
        <v>32768</v>
      </c>
      <c r="X17" s="36">
        <f>8*2^(5+L17)</f>
        <v>32768</v>
      </c>
      <c r="Y17" s="24">
        <f>IF(W17="",0,IF(ABS(W17-X17)&lt;=1,1,-1))</f>
        <v>1</v>
      </c>
      <c r="Z17" s="12" t="s">
        <v>933</v>
      </c>
      <c r="AA17" s="26">
        <f>10*LOG10(10^((60+L17-39.4)/10)+10^((63+L17-26.2)/10)+10^((66+L17-16.1)/10)+10^((69+L17-8.6)/10)+10^((72+L17-3.2)/10)+10^((75+L17)/10)+10^((78+L17+1.2)/10)+10^((81+L17+1)/10)+10^((84+L17-1.1)/10)+10^((87+L17-6.6)/10))</f>
        <v>94.684202566927453</v>
      </c>
      <c r="AB17" s="24">
        <f>IF(Z17="",0,IF(EXACT(RIGHT(Z17,5),"dB(A)"),IF(ABS(VALUE(LEFT(Z17,FIND(" ",Z17,1)))-AA17)&lt;=0.2,1,-1),-1))</f>
        <v>1</v>
      </c>
      <c r="AC17" s="12" t="s">
        <v>934</v>
      </c>
      <c r="AD17" s="26">
        <f>10*LOG10((10^((60+L17)/10)*(1+J17)+10^((65+K17)/10)*(2+I17/3))/(1+J17+2+I17/3))</f>
        <v>66.379781554158257</v>
      </c>
      <c r="AE17" s="24">
        <f>IF(AC17="",0,IF(EXACT(RIGHT(AC17,5),"dB(A)"),IF(ABS(VALUE(LEFT(AC17,FIND(" ",AC17,1)))-AD17)&lt;=0.5,1,-1),-1))</f>
        <v>1</v>
      </c>
      <c r="AF17" s="12" t="s">
        <v>935</v>
      </c>
      <c r="AG17" s="26">
        <f>90+K17+10*LOG10(4/(0.16*(300+J17*20)/(1+L17/10)))+3</f>
        <v>85.232389517304057</v>
      </c>
      <c r="AH17" s="24">
        <f>IF(AF17="",0,IF(EXACT(RIGHT(AF17,2),"dB"),IF(ABS(VALUE(LEFT(AF17,FIND(" ",AF17,1)))-AG17)&lt;=0.5,1,-1),-1))</f>
        <v>1</v>
      </c>
      <c r="AI17" s="12" t="s">
        <v>936</v>
      </c>
      <c r="AJ17" s="26">
        <f>10*LOG10(3+40*(2*SQRT(((10+K17)/2)^2+(3+L17/10)^2)-(10+K17))*100*(1+J17)/340)</f>
        <v>17.490904824283675</v>
      </c>
      <c r="AK17" s="24">
        <f>IF(AI17="",0,IF(EXACT(RIGHT(AI17,2),"dB"),IF(ABS(VALUE(LEFT(AI17,FIND(" ",AI17,1)))-AJ17)&lt;=0.5,1,-1),-1))</f>
        <v>1</v>
      </c>
      <c r="AL17" s="12" t="s">
        <v>937</v>
      </c>
      <c r="AM17" s="26">
        <f>80+L17-(80+K17)</f>
        <v>6</v>
      </c>
      <c r="AN17" s="24">
        <f>IF(AL17="",0,IF(EXACT(RIGHT(AL17,2),"dB"),IF(ABS(VALUE(LEFT(AL17,FIND(" ",AL17,1)))-AM17)&lt;=0.5,1,-1),-1))</f>
        <v>1</v>
      </c>
      <c r="AO17" s="12" t="s">
        <v>938</v>
      </c>
      <c r="AP17" s="30">
        <f>((2^(5+L17))/2+1)/48</f>
        <v>42.6875</v>
      </c>
      <c r="AQ17" s="24">
        <f>IF(AO17="",0,IF(EXACT(RIGHT(AO17,2),"ms"),IF(ABS(VALUE(LEFT(AO17,FIND(" ",AO17,1)))-AP17)/AP17&lt;=0.02,1,-1),-1))</f>
        <v>1</v>
      </c>
      <c r="AR17" s="39">
        <f>M17+P17+S17+V17+Y17+AB17+AE17+AH17+AK17+AN17+AQ17</f>
        <v>12</v>
      </c>
    </row>
    <row r="18" spans="1:44" ht="13.2">
      <c r="A18" s="41">
        <v>16</v>
      </c>
      <c r="B18" s="42">
        <v>41992.766239930563</v>
      </c>
      <c r="C18" s="12" t="s">
        <v>961</v>
      </c>
      <c r="D18" s="12" t="s">
        <v>962</v>
      </c>
      <c r="E18" s="12">
        <v>239615</v>
      </c>
      <c r="F18" s="23">
        <v>1</v>
      </c>
      <c r="G18" s="23">
        <f>INT(E18/100000)</f>
        <v>2</v>
      </c>
      <c r="H18" s="23">
        <f>INT(($E18-100000*G18)/10000)</f>
        <v>3</v>
      </c>
      <c r="I18" s="23">
        <f>INT(($E18-100000*G18-10000*H18)/1000)</f>
        <v>9</v>
      </c>
      <c r="J18" s="23">
        <f>INT(($E18-100000*$G18-10000*$H18-1000*$I18)/100)</f>
        <v>6</v>
      </c>
      <c r="K18" s="23">
        <f>INT(($E18-100000*$G18-10000*$H18-1000*$I18-100*$J18)/10)</f>
        <v>1</v>
      </c>
      <c r="L18" s="23">
        <f>INT(($E18-100000*$G18-10000*$H18-1000*$I18-100*$J18-10*$K18))</f>
        <v>5</v>
      </c>
      <c r="M18" s="24">
        <v>2</v>
      </c>
      <c r="N18" s="12" t="s">
        <v>963</v>
      </c>
      <c r="O18" s="26">
        <f>65+K18+10*LOG10(70+L18)+10*LOG10(100/(100+J18*20))</f>
        <v>81.326385825694942</v>
      </c>
      <c r="P18" s="24">
        <f>IF(N18="",0,IF(EXACT(RIGHT(N18,5),"dB(A)"),IF(ABS(VALUE(LEFT(N18,FIND(" ",N18,1)))-O18)&lt;=0.5,1,-1),-1))</f>
        <v>1</v>
      </c>
      <c r="Q18" s="12" t="s">
        <v>964</v>
      </c>
      <c r="R18" s="26">
        <f>10*LOG10(10^((80+G18)/10)*(10+L18)*1000/16/3600+10^((85+H18)/10)*(10+K18)*3000/16/3600+10^((90+J18)/10)*(10+J18)*100/16/3600)</f>
        <v>87.104089674589261</v>
      </c>
      <c r="S18" s="24">
        <f>IF(Q18="",0,IF(EXACT(RIGHT(Q18,5),"dB(A)"),IF(ABS(VALUE(LEFT(Q18,FIND(" ",Q18,1)))-R18)&lt;=0.5,1,-1),-1))</f>
        <v>1</v>
      </c>
      <c r="T18" s="12" t="s">
        <v>965</v>
      </c>
      <c r="U18" s="30">
        <f>4*(500+K18*10+L18)/(400+J18*10)/340*SQRT(8192/4/0.1)</f>
        <v>1.8849309600612041</v>
      </c>
      <c r="V18" s="24">
        <f>IF(T18="",0,IF(EXACT(RIGHT(T18,2)," s"),IF(ABS(VALUE(LEFT(T18,FIND(" ",T18,1)))-U18)&lt;=0.005,1,-1),-1))</f>
        <v>1</v>
      </c>
      <c r="W18" s="12">
        <v>8192</v>
      </c>
      <c r="X18" s="36">
        <f>8*2^(5+L18)</f>
        <v>8192</v>
      </c>
      <c r="Y18" s="24">
        <f>IF(W18="",0,IF(ABS(W18-X18)&lt;=1,1,-1))</f>
        <v>1</v>
      </c>
      <c r="Z18" s="12" t="s">
        <v>966</v>
      </c>
      <c r="AA18" s="26">
        <f>10*LOG10(10^((60+L18-39.4)/10)+10^((63+L18-26.2)/10)+10^((66+L18-16.1)/10)+10^((69+L18-8.6)/10)+10^((72+L18-3.2)/10)+10^((75+L18)/10)+10^((78+L18+1.2)/10)+10^((81+L18+1)/10)+10^((84+L18-1.1)/10)+10^((87+L18-6.6)/10))</f>
        <v>92.684202566927439</v>
      </c>
      <c r="AB18" s="24">
        <f>IF(Z18="",0,IF(EXACT(RIGHT(Z18,5),"dB(A)"),IF(ABS(VALUE(LEFT(Z18,FIND(" ",Z18,1)))-AA18)&lt;=0.2,1,-1),-1))</f>
        <v>1</v>
      </c>
      <c r="AC18" s="12" t="s">
        <v>967</v>
      </c>
      <c r="AD18" s="26">
        <f>10*LOG10((10^((60+L18)/10)*(1+J18)+10^((65+K18)/10)*(2+I18/3))/(1+J18+2+I18/3))</f>
        <v>65.444949129570986</v>
      </c>
      <c r="AE18" s="24">
        <f>IF(AC18="",0,IF(EXACT(RIGHT(AC18,5),"dB(A)"),IF(ABS(VALUE(LEFT(AC18,FIND(" ",AC18,1)))-AD18)&lt;=0.5,1,-1),-1))</f>
        <v>1</v>
      </c>
      <c r="AF18" s="12" t="s">
        <v>968</v>
      </c>
      <c r="AG18" s="26">
        <f>90+K18+10*LOG10(4/(0.16*(300+J18*20)/(1+L18/10)))+3</f>
        <v>83.507819773298181</v>
      </c>
      <c r="AH18" s="24">
        <f>IF(AF18="",0,IF(EXACT(RIGHT(AF18,2),"dB"),IF(ABS(VALUE(LEFT(AF18,FIND(" ",AF18,1)))-AG18)&lt;=0.5,1,-1),-1))</f>
        <v>1</v>
      </c>
      <c r="AI18" s="12" t="s">
        <v>969</v>
      </c>
      <c r="AJ18" s="26">
        <f>10*LOG10(3+40*(2*SQRT(((10+K18)/2)^2+(3+L18/10)^2)-(10+K18))*100*(1+J18)/340)</f>
        <v>22.326623410080643</v>
      </c>
      <c r="AK18" s="24">
        <f>IF(AI18="",0,IF(EXACT(RIGHT(AI18,2),"dB"),IF(ABS(VALUE(LEFT(AI18,FIND(" ",AI18,1)))-AJ18)&lt;=0.5,1,-1),-1))</f>
        <v>1</v>
      </c>
      <c r="AL18" s="12" t="s">
        <v>970</v>
      </c>
      <c r="AM18" s="26">
        <f>80+L18-(80+K18)</f>
        <v>4</v>
      </c>
      <c r="AN18" s="24">
        <f>IF(AL18="",0,IF(EXACT(RIGHT(AL18,2),"dB"),IF(ABS(VALUE(LEFT(AL18,FIND(" ",AL18,1)))-AM18)&lt;=0.5,1,-1),-1))</f>
        <v>1</v>
      </c>
      <c r="AO18" s="12" t="s">
        <v>971</v>
      </c>
      <c r="AP18" s="30">
        <f>((2^(5+L18))/2+1)/48</f>
        <v>10.6875</v>
      </c>
      <c r="AQ18" s="24">
        <f>IF(AO18="",0,IF(EXACT(RIGHT(AO18,2),"ms"),IF(ABS(VALUE(LEFT(AO18,FIND(" ",AO18,1)))-AP18)/AP18&lt;=0.02,1,-1),-1))</f>
        <v>1</v>
      </c>
      <c r="AR18" s="39">
        <f>M18+P18+S18+V18+Y18+AB18+AE18+AH18+AK18+AN18+AQ18</f>
        <v>12</v>
      </c>
    </row>
    <row r="19" spans="1:44" ht="13.2">
      <c r="A19" s="41">
        <v>17</v>
      </c>
      <c r="B19" s="42">
        <v>41992.76672003472</v>
      </c>
      <c r="C19" s="12" t="s">
        <v>1036</v>
      </c>
      <c r="D19" s="12" t="s">
        <v>1037</v>
      </c>
      <c r="E19" s="12">
        <v>105709</v>
      </c>
      <c r="F19" s="23">
        <v>1</v>
      </c>
      <c r="G19" s="23">
        <f>INT(E19/100000)</f>
        <v>1</v>
      </c>
      <c r="H19" s="23">
        <f>INT(($E19-100000*G19)/10000)</f>
        <v>0</v>
      </c>
      <c r="I19" s="23">
        <f>INT(($E19-100000*G19-10000*H19)/1000)</f>
        <v>5</v>
      </c>
      <c r="J19" s="23">
        <f>INT(($E19-100000*$G19-10000*$H19-1000*$I19)/100)</f>
        <v>7</v>
      </c>
      <c r="K19" s="23">
        <f>INT(($E19-100000*$G19-10000*$H19-1000*$I19-100*$J19)/10)</f>
        <v>0</v>
      </c>
      <c r="L19" s="23">
        <f>INT(($E19-100000*$G19-10000*$H19-1000*$I19-100*$J19-10*$K19))</f>
        <v>9</v>
      </c>
      <c r="M19" s="24">
        <v>2</v>
      </c>
      <c r="N19" s="12" t="s">
        <v>1038</v>
      </c>
      <c r="O19" s="26">
        <f>65+K19+10*LOG10(70+L19)+10*LOG10(100/(100+J19*20))</f>
        <v>80.174158495788348</v>
      </c>
      <c r="P19" s="24">
        <f>IF(N19="",0,IF(EXACT(RIGHT(N19,5),"dB(A)"),IF(ABS(VALUE(LEFT(N19,FIND(" ",N19,1)))-O19)&lt;=0.5,1,-1),-1))</f>
        <v>1</v>
      </c>
      <c r="Q19" s="12" t="s">
        <v>1039</v>
      </c>
      <c r="R19" s="26">
        <f>10*LOG10(10^((80+G19)/10)*(10+L19)*1000/16/3600+10^((85+H19)/10)*(10+K19)*3000/16/3600+10^((90+J19)/10)*(10+J19)*100/16/3600)</f>
        <v>85.491858459897912</v>
      </c>
      <c r="S19" s="24">
        <f>IF(Q19="",0,IF(EXACT(RIGHT(Q19,5),"dB(A)"),IF(ABS(VALUE(LEFT(Q19,FIND(" ",Q19,1)))-R19)&lt;=0.5,1,-1),-1))</f>
        <v>1</v>
      </c>
      <c r="T19" s="12" t="s">
        <v>1040</v>
      </c>
      <c r="U19" s="30">
        <f>4*(500+K19*10+L19)/(400+J19*10)/340*SQRT(8192/4/0.1)</f>
        <v>1.8233329270346221</v>
      </c>
      <c r="V19" s="24">
        <f>IF(T19="",0,IF(EXACT(RIGHT(T19,2)," s"),IF(ABS(VALUE(LEFT(T19,FIND(" ",T19,1)))-U19)&lt;=0.005,1,-1),-1))</f>
        <v>1</v>
      </c>
      <c r="W19" s="12">
        <v>131072</v>
      </c>
      <c r="X19" s="36">
        <f>8*2^(5+L19)</f>
        <v>131072</v>
      </c>
      <c r="Y19" s="24">
        <f>IF(W19="",0,IF(ABS(W19-X19)&lt;=1,1,-1))</f>
        <v>1</v>
      </c>
      <c r="Z19" s="12" t="s">
        <v>1041</v>
      </c>
      <c r="AA19" s="26">
        <f>10*LOG10(10^((60+L19-39.4)/10)+10^((63+L19-26.2)/10)+10^((66+L19-16.1)/10)+10^((69+L19-8.6)/10)+10^((72+L19-3.2)/10)+10^((75+L19)/10)+10^((78+L19+1.2)/10)+10^((81+L19+1)/10)+10^((84+L19-1.1)/10)+10^((87+L19-6.6)/10))</f>
        <v>96.684202566927439</v>
      </c>
      <c r="AB19" s="24">
        <f>IF(Z19="",0,IF(EXACT(RIGHT(Z19,5),"dB(A)"),IF(ABS(VALUE(LEFT(Z19,FIND(" ",Z19,1)))-AA19)&lt;=0.2,1,-1),-1))</f>
        <v>1</v>
      </c>
      <c r="AC19" s="12" t="s">
        <v>1042</v>
      </c>
      <c r="AD19" s="26">
        <f>10*LOG10((10^((60+L19)/10)*(1+J19)+10^((65+K19)/10)*(2+I19/3))/(1+J19+2+I19/3))</f>
        <v>68.089317810649518</v>
      </c>
      <c r="AE19" s="24">
        <f>IF(AC19="",0,IF(EXACT(RIGHT(AC19,5),"dB(A)"),IF(ABS(VALUE(LEFT(AC19,FIND(" ",AC19,1)))-AD19)&lt;=0.5,1,-1),-1))</f>
        <v>1</v>
      </c>
      <c r="AF19" s="12" t="s">
        <v>1043</v>
      </c>
      <c r="AG19" s="26">
        <f>90+K19+10*LOG10(4/(0.16*(300+J19*20)/(1+L19/10)))+3</f>
        <v>83.332409331386799</v>
      </c>
      <c r="AH19" s="24">
        <f>IF(AF19="",0,IF(EXACT(RIGHT(AF19,2),"dB"),IF(ABS(VALUE(LEFT(AF19,FIND(" ",AF19,1)))-AG19)&lt;=0.5,1,-1),-1))</f>
        <v>1</v>
      </c>
      <c r="AI19" s="12" t="s">
        <v>1044</v>
      </c>
      <c r="AJ19" s="26">
        <f>10*LOG10(3+40*(2*SQRT(((10+K19)/2)^2+(3+L19/10)^2)-(10+K19))*100*(1+J19)/340)</f>
        <v>24.073042813033034</v>
      </c>
      <c r="AK19" s="24">
        <f>IF(AI19="",0,IF(EXACT(RIGHT(AI19,2),"dB"),IF(ABS(VALUE(LEFT(AI19,FIND(" ",AI19,1)))-AJ19)&lt;=0.5,1,-1),-1))</f>
        <v>1</v>
      </c>
      <c r="AL19" s="12" t="s">
        <v>1045</v>
      </c>
      <c r="AM19" s="26">
        <f>80+L19-(80+K19)</f>
        <v>9</v>
      </c>
      <c r="AN19" s="24">
        <f>IF(AL19="",0,IF(EXACT(RIGHT(AL19,2),"dB"),IF(ABS(VALUE(LEFT(AL19,FIND(" ",AL19,1)))-AM19)&lt;=0.5,1,-1),-1))</f>
        <v>1</v>
      </c>
      <c r="AO19" s="12" t="s">
        <v>1046</v>
      </c>
      <c r="AP19" s="30">
        <f>((2^(5+L19))/2+1)/48</f>
        <v>170.6875</v>
      </c>
      <c r="AQ19" s="24">
        <f>IF(AO19="",0,IF(EXACT(RIGHT(AO19,2),"ms"),IF(ABS(VALUE(LEFT(AO19,FIND(" ",AO19,1)))-AP19)/AP19&lt;=0.02,1,-1),-1))</f>
        <v>1</v>
      </c>
      <c r="AR19" s="39">
        <f>M19+P19+S19+V19+Y19+AB19+AE19+AH19+AK19+AN19+AQ19</f>
        <v>12</v>
      </c>
    </row>
    <row r="20" spans="1:44" ht="13.2">
      <c r="A20" s="41">
        <v>18</v>
      </c>
      <c r="B20" s="42">
        <v>41992.767029432871</v>
      </c>
      <c r="C20" s="12" t="s">
        <v>1109</v>
      </c>
      <c r="D20" s="12" t="s">
        <v>1110</v>
      </c>
      <c r="E20" s="12">
        <v>232686</v>
      </c>
      <c r="F20" s="23">
        <v>1</v>
      </c>
      <c r="G20" s="23">
        <f>INT(E20/100000)</f>
        <v>2</v>
      </c>
      <c r="H20" s="23">
        <f>INT(($E20-100000*G20)/10000)</f>
        <v>3</v>
      </c>
      <c r="I20" s="23">
        <f>INT(($E20-100000*G20-10000*H20)/1000)</f>
        <v>2</v>
      </c>
      <c r="J20" s="23">
        <f>INT(($E20-100000*$G20-10000*$H20-1000*$I20)/100)</f>
        <v>6</v>
      </c>
      <c r="K20" s="23">
        <f>INT(($E20-100000*$G20-10000*$H20-1000*$I20-100*$J20)/10)</f>
        <v>8</v>
      </c>
      <c r="L20" s="23">
        <f>INT(($E20-100000*$G20-10000*$H20-1000*$I20-100*$J20-10*$K20))</f>
        <v>6</v>
      </c>
      <c r="M20" s="24">
        <v>2</v>
      </c>
      <c r="N20" s="12" t="s">
        <v>1111</v>
      </c>
      <c r="O20" s="26">
        <f>65+K20+10*LOG10(70+L20)+10*LOG10(100/(100+J20*20))</f>
        <v>88.383909114585848</v>
      </c>
      <c r="P20" s="24">
        <f>IF(N20="",0,IF(EXACT(RIGHT(N20,5),"dB(A)"),IF(ABS(VALUE(LEFT(N20,FIND(" ",N20,1)))-O20)&lt;=0.5,1,-1),-1))</f>
        <v>1</v>
      </c>
      <c r="Q20" s="12" t="s">
        <v>1112</v>
      </c>
      <c r="R20" s="26">
        <f>10*LOG10(10^((80+G20)/10)*(10+L20)*1000/16/3600+10^((85+H20)/10)*(10+K20)*3000/16/3600+10^((90+J20)/10)*(10+J20)*100/16/3600)</f>
        <v>88.728160426528689</v>
      </c>
      <c r="S20" s="24">
        <f>IF(Q20="",0,IF(EXACT(RIGHT(Q20,5),"dB(A)"),IF(ABS(VALUE(LEFT(Q20,FIND(" ",Q20,1)))-R20)&lt;=0.5,1,-1),-1))</f>
        <v>1</v>
      </c>
      <c r="T20" s="12" t="s">
        <v>1113</v>
      </c>
      <c r="U20" s="30">
        <f>4*(500+K20*10+L20)/(400+J20*10)/340*SQRT(8192/4/0.1)</f>
        <v>2.1447952283414864</v>
      </c>
      <c r="V20" s="24">
        <f>IF(T20="",0,IF(EXACT(RIGHT(T20,2)," s"),IF(ABS(VALUE(LEFT(T20,FIND(" ",T20,1)))-U20)&lt;=0.005,1,-1),-1))</f>
        <v>1</v>
      </c>
      <c r="W20" s="12">
        <v>16384</v>
      </c>
      <c r="X20" s="36">
        <f>8*2^(5+L20)</f>
        <v>16384</v>
      </c>
      <c r="Y20" s="24">
        <f>IF(W20="",0,IF(ABS(W20-X20)&lt;=1,1,-1))</f>
        <v>1</v>
      </c>
      <c r="Z20" s="12" t="s">
        <v>1114</v>
      </c>
      <c r="AA20" s="26">
        <f>10*LOG10(10^((60+L20-39.4)/10)+10^((63+L20-26.2)/10)+10^((66+L20-16.1)/10)+10^((69+L20-8.6)/10)+10^((72+L20-3.2)/10)+10^((75+L20)/10)+10^((78+L20+1.2)/10)+10^((81+L20+1)/10)+10^((84+L20-1.1)/10)+10^((87+L20-6.6)/10))</f>
        <v>93.684202566927453</v>
      </c>
      <c r="AB20" s="24">
        <f>IF(Z20="",0,IF(EXACT(RIGHT(Z20,5),"dB(A)"),IF(ABS(VALUE(LEFT(Z20,FIND(" ",Z20,1)))-AA20)&lt;=0.2,1,-1),-1))</f>
        <v>1</v>
      </c>
      <c r="AC20" s="12" t="s">
        <v>1115</v>
      </c>
      <c r="AD20" s="26">
        <f>10*LOG10((10^((60+L20)/10)*(1+J20)+10^((65+K20)/10)*(2+I20/3))/(1+J20+2+I20/3))</f>
        <v>69.236075197616188</v>
      </c>
      <c r="AE20" s="24">
        <f>IF(AC20="",0,IF(EXACT(RIGHT(AC20,5),"dB(A)"),IF(ABS(VALUE(LEFT(AC20,FIND(" ",AC20,1)))-AD20)&lt;=0.5,1,-1),-1))</f>
        <v>1</v>
      </c>
      <c r="AF20" s="12" t="s">
        <v>1116</v>
      </c>
      <c r="AG20" s="26">
        <f>90+K20+10*LOG10(4/(0.16*(300+J20*20)/(1+L20/10)))+3</f>
        <v>90.788107009300617</v>
      </c>
      <c r="AH20" s="24">
        <f>IF(AF20="",0,IF(EXACT(RIGHT(AF20,2),"dB"),IF(ABS(VALUE(LEFT(AF20,FIND(" ",AF20,1)))-AG20)&lt;=0.5,1,-1),-1))</f>
        <v>1</v>
      </c>
      <c r="AI20" s="12" t="s">
        <v>1117</v>
      </c>
      <c r="AJ20" s="26">
        <f>10*LOG10(3+40*(2*SQRT(((10+K20)/2)^2+(3+L20/10)^2)-(10+K20))*100*(1+J20)/340)</f>
        <v>20.688906911490616</v>
      </c>
      <c r="AK20" s="24">
        <f>IF(AI20="",0,IF(EXACT(RIGHT(AI20,2),"dB"),IF(ABS(VALUE(LEFT(AI20,FIND(" ",AI20,1)))-AJ20)&lt;=0.5,1,-1),-1))</f>
        <v>1</v>
      </c>
      <c r="AL20" s="12" t="s">
        <v>1118</v>
      </c>
      <c r="AM20" s="26">
        <f>80+L20-(80+K20)</f>
        <v>-2</v>
      </c>
      <c r="AN20" s="24">
        <f>IF(AL20="",0,IF(EXACT(RIGHT(AL20,2),"dB"),IF(ABS(VALUE(LEFT(AL20,FIND(" ",AL20,1)))-AM20)&lt;=0.5,1,-1),-1))</f>
        <v>1</v>
      </c>
      <c r="AO20" s="12" t="s">
        <v>1119</v>
      </c>
      <c r="AP20" s="30">
        <f>((2^(5+L20))/2+1)/48</f>
        <v>21.354166666666668</v>
      </c>
      <c r="AQ20" s="24">
        <f>IF(AO20="",0,IF(EXACT(RIGHT(AO20,2),"ms"),IF(ABS(VALUE(LEFT(AO20,FIND(" ",AO20,1)))-AP20)/AP20&lt;=0.02,1,-1),-1))</f>
        <v>1</v>
      </c>
      <c r="AR20" s="39">
        <f>M20+P20+S20+V20+Y20+AB20+AE20+AH20+AK20+AN20+AQ20</f>
        <v>12</v>
      </c>
    </row>
    <row r="21" spans="1:44" ht="13.2">
      <c r="A21" s="41">
        <v>19</v>
      </c>
      <c r="B21" s="42">
        <v>41992.768225613421</v>
      </c>
      <c r="C21" s="12" t="s">
        <v>1284</v>
      </c>
      <c r="D21" s="12" t="s">
        <v>1285</v>
      </c>
      <c r="E21" s="12">
        <v>239619</v>
      </c>
      <c r="F21" s="23">
        <v>1</v>
      </c>
      <c r="G21" s="23">
        <f>INT(E21/100000)</f>
        <v>2</v>
      </c>
      <c r="H21" s="23">
        <f>INT(($E21-100000*G21)/10000)</f>
        <v>3</v>
      </c>
      <c r="I21" s="23">
        <f>INT(($E21-100000*G21-10000*H21)/1000)</f>
        <v>9</v>
      </c>
      <c r="J21" s="23">
        <f>INT(($E21-100000*$G21-10000*$H21-1000*$I21)/100)</f>
        <v>6</v>
      </c>
      <c r="K21" s="23">
        <f>INT(($E21-100000*$G21-10000*$H21-1000*$I21-100*$J21)/10)</f>
        <v>1</v>
      </c>
      <c r="L21" s="23">
        <f>INT(($E21-100000*$G21-10000*$H21-1000*$I21-100*$J21-10*$K21))</f>
        <v>9</v>
      </c>
      <c r="M21" s="24">
        <v>2</v>
      </c>
      <c r="N21" s="12" t="s">
        <v>1286</v>
      </c>
      <c r="O21" s="26">
        <f>65+K21+10*LOG10(70+L21)+10*LOG10(100/(100+J21*20))</f>
        <v>81.552044104682352</v>
      </c>
      <c r="P21" s="24">
        <f>IF(N21="",0,IF(EXACT(RIGHT(N21,5),"dB(A)"),IF(ABS(VALUE(LEFT(N21,FIND(" ",N21,1)))-O21)&lt;=0.5,1,-1),-1))</f>
        <v>1</v>
      </c>
      <c r="Q21" s="12" t="s">
        <v>1287</v>
      </c>
      <c r="R21" s="26">
        <f>10*LOG10(10^((80+G21)/10)*(10+L21)*1000/16/3600+10^((85+H21)/10)*(10+K21)*3000/16/3600+10^((90+J21)/10)*(10+J21)*100/16/3600)</f>
        <v>87.196219073680965</v>
      </c>
      <c r="S21" s="24">
        <f>IF(Q21="",0,IF(EXACT(RIGHT(Q21,5),"dB(A)"),IF(ABS(VALUE(LEFT(Q21,FIND(" ",Q21,1)))-R21)&lt;=0.5,1,-1),-1))</f>
        <v>1</v>
      </c>
      <c r="T21" s="12" t="s">
        <v>1288</v>
      </c>
      <c r="U21" s="30">
        <f>4*(500+K21*10+L21)/(400+J21*10)/340*SQRT(8192/4/0.1)</f>
        <v>1.8995712005276986</v>
      </c>
      <c r="V21" s="24">
        <f>IF(T21="",0,IF(EXACT(RIGHT(T21,2)," s"),IF(ABS(VALUE(LEFT(T21,FIND(" ",T21,1)))-U21)&lt;=0.005,1,-1),-1))</f>
        <v>1</v>
      </c>
      <c r="W21" s="12">
        <v>131072</v>
      </c>
      <c r="X21" s="36">
        <f>8*2^(5+L21)</f>
        <v>131072</v>
      </c>
      <c r="Y21" s="24">
        <f>IF(W21="",0,IF(ABS(W21-X21)&lt;=1,1,-1))</f>
        <v>1</v>
      </c>
      <c r="Z21" s="12" t="s">
        <v>1289</v>
      </c>
      <c r="AA21" s="26">
        <f>10*LOG10(10^((60+L21-39.4)/10)+10^((63+L21-26.2)/10)+10^((66+L21-16.1)/10)+10^((69+L21-8.6)/10)+10^((72+L21-3.2)/10)+10^((75+L21)/10)+10^((78+L21+1.2)/10)+10^((81+L21+1)/10)+10^((84+L21-1.1)/10)+10^((87+L21-6.6)/10))</f>
        <v>96.684202566927439</v>
      </c>
      <c r="AB21" s="24">
        <f>IF(Z21="",0,IF(EXACT(RIGHT(Z21,5),"dB(A)"),IF(ABS(VALUE(LEFT(Z21,FIND(" ",Z21,1)))-AA21)&lt;=0.2,1,-1),-1))</f>
        <v>1</v>
      </c>
      <c r="AC21" s="12" t="s">
        <v>1290</v>
      </c>
      <c r="AD21" s="26">
        <f>10*LOG10((10^((60+L21)/10)*(1+J21)+10^((65+K21)/10)*(2+I21/3))/(1+J21+2+I21/3))</f>
        <v>67.988136476562005</v>
      </c>
      <c r="AE21" s="24">
        <f>IF(AC21="",0,IF(EXACT(RIGHT(AC21,5),"dB(A)"),IF(ABS(VALUE(LEFT(AC21,FIND(" ",AC21,1)))-AD21)&lt;=0.5,1,-1),-1))</f>
        <v>1</v>
      </c>
      <c r="AF21" s="12" t="s">
        <v>1291</v>
      </c>
      <c r="AG21" s="26">
        <f>90+K21+10*LOG10(4/(0.16*(300+J21*20)/(1+L21/10)))+3</f>
        <v>84.534443192269663</v>
      </c>
      <c r="AH21" s="24">
        <f>IF(AF21="",0,IF(EXACT(RIGHT(AF21,2),"dB"),IF(ABS(VALUE(LEFT(AF21,FIND(" ",AF21,1)))-AG21)&lt;=0.5,1,-1),-1))</f>
        <v>1</v>
      </c>
      <c r="AI21" s="12" t="s">
        <v>1292</v>
      </c>
      <c r="AJ21" s="26">
        <f>10*LOG10(3+40*(2*SQRT(((10+K21)/2)^2+(3+L21/10)^2)-(10+K21))*100*(1+J21)/340)</f>
        <v>23.17292413503332</v>
      </c>
      <c r="AK21" s="24">
        <f>IF(AI21="",0,IF(EXACT(RIGHT(AI21,2),"dB"),IF(ABS(VALUE(LEFT(AI21,FIND(" ",AI21,1)))-AJ21)&lt;=0.5,1,-1),-1))</f>
        <v>1</v>
      </c>
      <c r="AL21" s="12" t="s">
        <v>1293</v>
      </c>
      <c r="AM21" s="26">
        <f>80+L21-(80+K21)</f>
        <v>8</v>
      </c>
      <c r="AN21" s="24">
        <f>IF(AL21="",0,IF(EXACT(RIGHT(AL21,2),"dB"),IF(ABS(VALUE(LEFT(AL21,FIND(" ",AL21,1)))-AM21)&lt;=0.5,1,-1),-1))</f>
        <v>1</v>
      </c>
      <c r="AO21" s="12" t="s">
        <v>1294</v>
      </c>
      <c r="AP21" s="30">
        <f>((2^(5+L21))/2+1)/48</f>
        <v>170.6875</v>
      </c>
      <c r="AQ21" s="24">
        <f>IF(AO21="",0,IF(EXACT(RIGHT(AO21,2),"ms"),IF(ABS(VALUE(LEFT(AO21,FIND(" ",AO21,1)))-AP21)/AP21&lt;=0.02,1,-1),-1))</f>
        <v>1</v>
      </c>
      <c r="AR21" s="39">
        <f>M21+P21+S21+V21+Y21+AB21+AE21+AH21+AK21+AN21+AQ21</f>
        <v>12</v>
      </c>
    </row>
    <row r="22" spans="1:44" ht="13.2">
      <c r="A22" s="41">
        <v>20</v>
      </c>
      <c r="B22" s="42">
        <v>41992.76836696759</v>
      </c>
      <c r="C22" s="12" t="s">
        <v>1325</v>
      </c>
      <c r="D22" s="12" t="s">
        <v>1326</v>
      </c>
      <c r="E22" s="12">
        <v>239655</v>
      </c>
      <c r="F22" s="23">
        <v>1</v>
      </c>
      <c r="G22" s="23">
        <f>INT(E22/100000)</f>
        <v>2</v>
      </c>
      <c r="H22" s="23">
        <f>INT(($E22-100000*G22)/10000)</f>
        <v>3</v>
      </c>
      <c r="I22" s="23">
        <f>INT(($E22-100000*G22-10000*H22)/1000)</f>
        <v>9</v>
      </c>
      <c r="J22" s="23">
        <f>INT(($E22-100000*$G22-10000*$H22-1000*$I22)/100)</f>
        <v>6</v>
      </c>
      <c r="K22" s="23">
        <f>INT(($E22-100000*$G22-10000*$H22-1000*$I22-100*$J22)/10)</f>
        <v>5</v>
      </c>
      <c r="L22" s="23">
        <f>INT(($E22-100000*$G22-10000*$H22-1000*$I22-100*$J22-10*$K22))</f>
        <v>5</v>
      </c>
      <c r="M22" s="24">
        <v>2</v>
      </c>
      <c r="N22" s="12" t="s">
        <v>1327</v>
      </c>
      <c r="O22" s="26">
        <f>65+K22+10*LOG10(70+L22)+10*LOG10(100/(100+J22*20))</f>
        <v>85.326385825694942</v>
      </c>
      <c r="P22" s="24">
        <f>IF(N22="",0,IF(EXACT(RIGHT(N22,5),"dB(A)"),IF(ABS(VALUE(LEFT(N22,FIND(" ",N22,1)))-O22)&lt;=0.5,1,-1),-1))</f>
        <v>1</v>
      </c>
      <c r="Q22" s="12" t="s">
        <v>1328</v>
      </c>
      <c r="R22" s="26">
        <f>10*LOG10(10^((80+G22)/10)*(10+L22)*1000/16/3600+10^((85+H22)/10)*(10+K22)*3000/16/3600+10^((90+J22)/10)*(10+J22)*100/16/3600)</f>
        <v>88.094209948165215</v>
      </c>
      <c r="S22" s="24">
        <f>IF(Q22="",0,IF(EXACT(RIGHT(Q22,5),"dB(A)"),IF(ABS(VALUE(LEFT(Q22,FIND(" ",Q22,1)))-R22)&lt;=0.5,1,-1),-1))</f>
        <v>1</v>
      </c>
      <c r="T22" s="12" t="s">
        <v>1329</v>
      </c>
      <c r="U22" s="30">
        <f>4*(500+K22*10+L22)/(400+J22*10)/340*SQRT(8192/4/0.1)</f>
        <v>2.031333364726152</v>
      </c>
      <c r="V22" s="24">
        <f>IF(T22="",0,IF(EXACT(RIGHT(T22,2)," s"),IF(ABS(VALUE(LEFT(T22,FIND(" ",T22,1)))-U22)&lt;=0.005,1,-1),-1))</f>
        <v>1</v>
      </c>
      <c r="W22" s="12">
        <v>8192</v>
      </c>
      <c r="X22" s="36">
        <f>8*2^(5+L22)</f>
        <v>8192</v>
      </c>
      <c r="Y22" s="24">
        <f>IF(W22="",0,IF(ABS(W22-X22)&lt;=1,1,-1))</f>
        <v>1</v>
      </c>
      <c r="Z22" s="12" t="s">
        <v>1330</v>
      </c>
      <c r="AA22" s="26">
        <f>10*LOG10(10^((60+L22-39.4)/10)+10^((63+L22-26.2)/10)+10^((66+L22-16.1)/10)+10^((69+L22-8.6)/10)+10^((72+L22-3.2)/10)+10^((75+L22)/10)+10^((78+L22+1.2)/10)+10^((81+L22+1)/10)+10^((84+L22-1.1)/10)+10^((87+L22-6.6)/10))</f>
        <v>92.684202566927439</v>
      </c>
      <c r="AB22" s="24">
        <f>IF(Z22="",0,IF(EXACT(RIGHT(Z22,5),"dB(A)"),IF(ABS(VALUE(LEFT(Z22,FIND(" ",Z22,1)))-AA22)&lt;=0.2,1,-1),-1))</f>
        <v>1</v>
      </c>
      <c r="AC22" s="12" t="s">
        <v>1331</v>
      </c>
      <c r="AD22" s="26">
        <f>10*LOG10((10^((60+L22)/10)*(1+J22)+10^((65+K22)/10)*(2+I22/3))/(1+J22+2+I22/3))</f>
        <v>67.789704711907632</v>
      </c>
      <c r="AE22" s="24">
        <f>IF(AC22="",0,IF(EXACT(RIGHT(AC22,5),"dB(A)"),IF(ABS(VALUE(LEFT(AC22,FIND(" ",AC22,1)))-AD22)&lt;=0.5,1,-1),-1))</f>
        <v>1</v>
      </c>
      <c r="AF22" s="12" t="s">
        <v>1332</v>
      </c>
      <c r="AG22" s="26">
        <f>90+K22+10*LOG10(4/(0.16*(300+J22*20)/(1+L22/10)))+3</f>
        <v>87.507819773298181</v>
      </c>
      <c r="AH22" s="24">
        <f>IF(AF22="",0,IF(EXACT(RIGHT(AF22,2),"dB"),IF(ABS(VALUE(LEFT(AF22,FIND(" ",AF22,1)))-AG22)&lt;=0.5,1,-1),-1))</f>
        <v>1</v>
      </c>
      <c r="AI22" s="12" t="s">
        <v>1333</v>
      </c>
      <c r="AJ22" s="26">
        <f>10*LOG10(3+40*(2*SQRT(((10+K22)/2)^2+(3+L22/10)^2)-(10+K22))*100*(1+J22)/340)</f>
        <v>21.169051990817156</v>
      </c>
      <c r="AK22" s="24">
        <f>IF(AI22="",0,IF(EXACT(RIGHT(AI22,2),"dB"),IF(ABS(VALUE(LEFT(AI22,FIND(" ",AI22,1)))-AJ22)&lt;=0.5,1,-1),-1))</f>
        <v>1</v>
      </c>
      <c r="AL22" s="12" t="s">
        <v>1334</v>
      </c>
      <c r="AM22" s="26">
        <f>80+L22-(80+K22)</f>
        <v>0</v>
      </c>
      <c r="AN22" s="24">
        <f>IF(AL22="",0,IF(EXACT(RIGHT(AL22,2),"dB"),IF(ABS(VALUE(LEFT(AL22,FIND(" ",AL22,1)))-AM22)&lt;=0.5,1,-1),-1))</f>
        <v>1</v>
      </c>
      <c r="AO22" s="12" t="s">
        <v>1335</v>
      </c>
      <c r="AP22" s="30">
        <f>((2^(5+L22))/2+1)/48</f>
        <v>10.6875</v>
      </c>
      <c r="AQ22" s="24">
        <f>IF(AO22="",0,IF(EXACT(RIGHT(AO22,2),"ms"),IF(ABS(VALUE(LEFT(AO22,FIND(" ",AO22,1)))-AP22)/AP22&lt;=0.02,1,-1),-1))</f>
        <v>1</v>
      </c>
      <c r="AR22" s="39">
        <f>M22+P22+S22+V22+Y22+AB22+AE22+AH22+AK22+AN22+AQ22</f>
        <v>12</v>
      </c>
    </row>
    <row r="23" spans="1:44" ht="13.2">
      <c r="A23" s="41">
        <v>21</v>
      </c>
      <c r="B23" s="42">
        <v>41992.775723287035</v>
      </c>
      <c r="C23" s="12" t="s">
        <v>1514</v>
      </c>
      <c r="D23" s="12" t="s">
        <v>1515</v>
      </c>
      <c r="E23" s="12">
        <v>239167</v>
      </c>
      <c r="F23" s="23">
        <v>1</v>
      </c>
      <c r="G23" s="23">
        <f>INT(E23/100000)</f>
        <v>2</v>
      </c>
      <c r="H23" s="23">
        <f>INT(($E23-100000*G23)/10000)</f>
        <v>3</v>
      </c>
      <c r="I23" s="23">
        <f>INT(($E23-100000*G23-10000*H23)/1000)</f>
        <v>9</v>
      </c>
      <c r="J23" s="23">
        <f>INT(($E23-100000*$G23-10000*$H23-1000*$I23)/100)</f>
        <v>1</v>
      </c>
      <c r="K23" s="23">
        <f>INT(($E23-100000*$G23-10000*$H23-1000*$I23-100*$J23)/10)</f>
        <v>6</v>
      </c>
      <c r="L23" s="23">
        <f>INT(($E23-100000*$G23-10000*$H23-1000*$I23-100*$J23-10*$K23))</f>
        <v>7</v>
      </c>
      <c r="M23" s="24">
        <v>2</v>
      </c>
      <c r="N23" s="12" t="s">
        <v>1516</v>
      </c>
      <c r="O23" s="26">
        <f>65+K23+10*LOG10(70+L23)+10*LOG10(100/(100+J23*20))</f>
        <v>89.073094791248565</v>
      </c>
      <c r="P23" s="24">
        <f>IF(N23="",0,IF(EXACT(RIGHT(N23,5),"dB(A)"),IF(ABS(VALUE(LEFT(N23,FIND(" ",N23,1)))-O23)&lt;=0.5,1,-1),-1))</f>
        <v>1</v>
      </c>
      <c r="Q23" s="12" t="s">
        <v>1517</v>
      </c>
      <c r="R23" s="26">
        <f>10*LOG10(10^((80+G23)/10)*(10+L23)*1000/16/3600+10^((85+H23)/10)*(10+K23)*3000/16/3600+10^((90+J23)/10)*(10+J23)*100/16/3600)</f>
        <v>87.756949885039205</v>
      </c>
      <c r="S23" s="24">
        <f>IF(Q23="",0,IF(EXACT(RIGHT(Q23,5),"dB(A)"),IF(ABS(VALUE(LEFT(Q23,FIND(" ",Q23,1)))-R23)&lt;=0.5,1,-1),-1))</f>
        <v>1</v>
      </c>
      <c r="T23" s="12" t="s">
        <v>1518</v>
      </c>
      <c r="U23" s="30">
        <f>4*(500+K23*10+L23)/(400+J23*10)/340*SQRT(8192/4/0.1)</f>
        <v>2.3283338527263235</v>
      </c>
      <c r="V23" s="24">
        <f>IF(T23="",0,IF(EXACT(RIGHT(T23,2)," s"),IF(ABS(VALUE(LEFT(T23,FIND(" ",T23,1)))-U23)&lt;=0.005,1,-1),-1))</f>
        <v>1</v>
      </c>
      <c r="W23" s="12">
        <v>32768</v>
      </c>
      <c r="X23" s="36">
        <f>8*2^(5+L23)</f>
        <v>32768</v>
      </c>
      <c r="Y23" s="24">
        <f>IF(W23="",0,IF(ABS(W23-X23)&lt;=1,1,-1))</f>
        <v>1</v>
      </c>
      <c r="Z23" s="12" t="s">
        <v>1519</v>
      </c>
      <c r="AA23" s="26">
        <f>10*LOG10(10^((60+L23-39.4)/10)+10^((63+L23-26.2)/10)+10^((66+L23-16.1)/10)+10^((69+L23-8.6)/10)+10^((72+L23-3.2)/10)+10^((75+L23)/10)+10^((78+L23+1.2)/10)+10^((81+L23+1)/10)+10^((84+L23-1.1)/10)+10^((87+L23-6.6)/10))</f>
        <v>94.684202566927453</v>
      </c>
      <c r="AB23" s="24">
        <f>IF(Z23="",0,IF(EXACT(RIGHT(Z23,5),"dB(A)"),IF(ABS(VALUE(LEFT(Z23,FIND(" ",Z23,1)))-AA23)&lt;=0.2,1,-1),-1))</f>
        <v>1</v>
      </c>
      <c r="AC23" s="12" t="s">
        <v>1520</v>
      </c>
      <c r="AD23" s="26">
        <f>10*LOG10((10^((60+L23)/10)*(1+J23)+10^((65+K23)/10)*(2+I23/3))/(1+J23+2+I23/3))</f>
        <v>70.180463970745336</v>
      </c>
      <c r="AE23" s="24">
        <f>IF(AC23="",0,IF(EXACT(RIGHT(AC23,5),"dB(A)"),IF(ABS(VALUE(LEFT(AC23,FIND(" ",AC23,1)))-AD23)&lt;=0.5,1,-1),-1))</f>
        <v>1</v>
      </c>
      <c r="AF23" s="12" t="s">
        <v>1521</v>
      </c>
      <c r="AG23" s="26">
        <f>90+K23+10*LOG10(4/(0.16*(300+J23*20)/(1+L23/10)))+3</f>
        <v>90.232389517304057</v>
      </c>
      <c r="AH23" s="24">
        <f>IF(AF23="",0,IF(EXACT(RIGHT(AF23,2),"dB"),IF(ABS(VALUE(LEFT(AF23,FIND(" ",AF23,1)))-AG23)&lt;=0.5,1,-1),-1))</f>
        <v>1</v>
      </c>
      <c r="AI23" s="12" t="s">
        <v>1522</v>
      </c>
      <c r="AJ23" s="26">
        <f>10*LOG10(3+40*(2*SQRT(((10+K23)/2)^2+(3+L23/10)^2)-(10+K23))*100*(1+J23)/340)</f>
        <v>16.161074354406257</v>
      </c>
      <c r="AK23" s="24">
        <f>IF(AI23="",0,IF(EXACT(RIGHT(AI23,2),"dB"),IF(ABS(VALUE(LEFT(AI23,FIND(" ",AI23,1)))-AJ23)&lt;=0.5,1,-1),-1))</f>
        <v>1</v>
      </c>
      <c r="AL23" s="12" t="s">
        <v>1523</v>
      </c>
      <c r="AM23" s="26">
        <f>80+L23-(80+K23)</f>
        <v>1</v>
      </c>
      <c r="AN23" s="24">
        <f>IF(AL23="",0,IF(EXACT(RIGHT(AL23,2),"dB"),IF(ABS(VALUE(LEFT(AL23,FIND(" ",AL23,1)))-AM23)&lt;=0.5,1,-1),-1))</f>
        <v>1</v>
      </c>
      <c r="AO23" s="12" t="s">
        <v>1524</v>
      </c>
      <c r="AP23" s="30">
        <f>((2^(5+L23))/2+1)/48</f>
        <v>42.6875</v>
      </c>
      <c r="AQ23" s="24">
        <f>IF(AO23="",0,IF(EXACT(RIGHT(AO23,2),"ms"),IF(ABS(VALUE(LEFT(AO23,FIND(" ",AO23,1)))-AP23)/AP23&lt;=0.02,1,-1),-1))</f>
        <v>1</v>
      </c>
      <c r="AR23" s="39">
        <f>M23+P23+S23+V23+Y23+AB23+AE23+AH23+AK23+AN23+AQ23</f>
        <v>12</v>
      </c>
    </row>
    <row r="24" spans="1:44" ht="13.2">
      <c r="A24" s="41">
        <v>22</v>
      </c>
      <c r="B24" s="42">
        <v>41992.775942152781</v>
      </c>
      <c r="C24" s="12" t="s">
        <v>1525</v>
      </c>
      <c r="D24" s="12" t="s">
        <v>1526</v>
      </c>
      <c r="E24" s="12">
        <v>232597</v>
      </c>
      <c r="F24" s="23">
        <v>1</v>
      </c>
      <c r="G24" s="23">
        <f>INT(E24/100000)</f>
        <v>2</v>
      </c>
      <c r="H24" s="23">
        <f>INT(($E24-100000*G24)/10000)</f>
        <v>3</v>
      </c>
      <c r="I24" s="23">
        <f>INT(($E24-100000*G24-10000*H24)/1000)</f>
        <v>2</v>
      </c>
      <c r="J24" s="23">
        <f>INT(($E24-100000*$G24-10000*$H24-1000*$I24)/100)</f>
        <v>5</v>
      </c>
      <c r="K24" s="23">
        <f>INT(($E24-100000*$G24-10000*$H24-1000*$I24-100*$J24)/10)</f>
        <v>9</v>
      </c>
      <c r="L24" s="23">
        <f>INT(($E24-100000*$G24-10000*$H24-1000*$I24-100*$J24-10*$K24))</f>
        <v>7</v>
      </c>
      <c r="M24" s="24">
        <v>2</v>
      </c>
      <c r="N24" s="12" t="s">
        <v>1527</v>
      </c>
      <c r="O24" s="26">
        <f>65+K24+10*LOG10(70+L24)+10*LOG10(100/(100+J24*20))</f>
        <v>89.854607295085003</v>
      </c>
      <c r="P24" s="24">
        <f>IF(N24="",0,IF(EXACT(RIGHT(N24,5),"dB(A)"),IF(ABS(VALUE(LEFT(N24,FIND(" ",N24,1)))-O24)&lt;=0.5,1,-1),-1))</f>
        <v>1</v>
      </c>
      <c r="Q24" s="12" t="s">
        <v>1528</v>
      </c>
      <c r="R24" s="26">
        <f>10*LOG10(10^((80+G24)/10)*(10+L24)*1000/16/3600+10^((85+H24)/10)*(10+K24)*3000/16/3600+10^((90+J24)/10)*(10+J24)*100/16/3600)</f>
        <v>88.770902966359415</v>
      </c>
      <c r="S24" s="24">
        <f>IF(Q24="",0,IF(EXACT(RIGHT(Q24,5),"dB(A)"),IF(ABS(VALUE(LEFT(Q24,FIND(" ",Q24,1)))-R24)&lt;=0.5,1,-1),-1))</f>
        <v>1</v>
      </c>
      <c r="T24" s="12" t="s">
        <v>1529</v>
      </c>
      <c r="U24" s="30">
        <f>4*(500+K24*10+L24)/(400+J24*10)/340*SQRT(8192/4/0.1)</f>
        <v>2.2336126871715547</v>
      </c>
      <c r="V24" s="24">
        <f>IF(T24="",0,IF(EXACT(RIGHT(T24,2)," s"),IF(ABS(VALUE(LEFT(T24,FIND(" ",T24,1)))-U24)&lt;=0.005,1,-1),-1))</f>
        <v>1</v>
      </c>
      <c r="W24" s="12">
        <v>32768</v>
      </c>
      <c r="X24" s="36">
        <f>8*2^(5+L24)</f>
        <v>32768</v>
      </c>
      <c r="Y24" s="24">
        <f>IF(W24="",0,IF(ABS(W24-X24)&lt;=1,1,-1))</f>
        <v>1</v>
      </c>
      <c r="Z24" s="12" t="s">
        <v>1530</v>
      </c>
      <c r="AA24" s="26">
        <f>10*LOG10(10^((60+L24-39.4)/10)+10^((63+L24-26.2)/10)+10^((66+L24-16.1)/10)+10^((69+L24-8.6)/10)+10^((72+L24-3.2)/10)+10^((75+L24)/10)+10^((78+L24+1.2)/10)+10^((81+L24+1)/10)+10^((84+L24-1.1)/10)+10^((87+L24-6.6)/10))</f>
        <v>94.684202566927453</v>
      </c>
      <c r="AB24" s="24">
        <f>IF(Z24="",0,IF(EXACT(RIGHT(Z24,5),"dB(A)"),IF(ABS(VALUE(LEFT(Z24,FIND(" ",Z24,1)))-AA24)&lt;=0.2,1,-1),-1))</f>
        <v>1</v>
      </c>
      <c r="AC24" s="12" t="s">
        <v>1531</v>
      </c>
      <c r="AD24" s="26">
        <f>10*LOG10((10^((60+L24)/10)*(1+J24)+10^((65+K24)/10)*(2+I24/3))/(1+J24+2+I24/3))</f>
        <v>70.491652487674244</v>
      </c>
      <c r="AE24" s="24">
        <f>IF(AC24="",0,IF(EXACT(RIGHT(AC24,5),"dB(A)"),IF(ABS(VALUE(LEFT(AC24,FIND(" ",AC24,1)))-AD24)&lt;=0.5,1,-1),-1))</f>
        <v>1</v>
      </c>
      <c r="AF24" s="12" t="s">
        <v>1532</v>
      </c>
      <c r="AG24" s="26">
        <f>90+K24+10*LOG10(4/(0.16*(300+J24*20)/(1+L24/10)))+3</f>
        <v>92.263289387223494</v>
      </c>
      <c r="AH24" s="24">
        <f>IF(AF24="",0,IF(EXACT(RIGHT(AF24,2),"dB"),IF(ABS(VALUE(LEFT(AF24,FIND(" ",AF24,1)))-AG24)&lt;=0.5,1,-1),-1))</f>
        <v>1</v>
      </c>
      <c r="AI24" s="12" t="s">
        <v>1533</v>
      </c>
      <c r="AJ24" s="26">
        <f>10*LOG10(3+40*(2*SQRT(((10+K24)/2)^2+(3+L24/10)^2)-(10+K24))*100*(1+J24)/340)</f>
        <v>20.048856823503741</v>
      </c>
      <c r="AK24" s="24">
        <f>IF(AI24="",0,IF(EXACT(RIGHT(AI24,2),"dB"),IF(ABS(VALUE(LEFT(AI24,FIND(" ",AI24,1)))-AJ24)&lt;=0.5,1,-1),-1))</f>
        <v>1</v>
      </c>
      <c r="AL24" s="12" t="s">
        <v>1534</v>
      </c>
      <c r="AM24" s="26">
        <f>80+L24-(80+K24)</f>
        <v>-2</v>
      </c>
      <c r="AN24" s="24">
        <f>IF(AL24="",0,IF(EXACT(RIGHT(AL24,2),"dB"),IF(ABS(VALUE(LEFT(AL24,FIND(" ",AL24,1)))-AM24)&lt;=0.5,1,-1),-1))</f>
        <v>1</v>
      </c>
      <c r="AO24" s="12" t="s">
        <v>1535</v>
      </c>
      <c r="AP24" s="30">
        <f>((2^(5+L24))/2+1)/48</f>
        <v>42.6875</v>
      </c>
      <c r="AQ24" s="24">
        <f>IF(AO24="",0,IF(EXACT(RIGHT(AO24,2),"ms"),IF(ABS(VALUE(LEFT(AO24,FIND(" ",AO24,1)))-AP24)/AP24&lt;=0.02,1,-1),-1))</f>
        <v>1</v>
      </c>
      <c r="AR24" s="39">
        <f>M24+P24+S24+V24+Y24+AB24+AE24+AH24+AK24+AN24+AQ24</f>
        <v>12</v>
      </c>
    </row>
    <row r="25" spans="1:44" ht="13.2">
      <c r="A25" s="41">
        <v>23</v>
      </c>
      <c r="B25" s="42">
        <v>41992.763422592594</v>
      </c>
      <c r="C25" s="12" t="s">
        <v>494</v>
      </c>
      <c r="D25" s="12" t="s">
        <v>495</v>
      </c>
      <c r="E25" s="12">
        <v>240215</v>
      </c>
      <c r="F25" s="23">
        <v>1</v>
      </c>
      <c r="G25" s="23">
        <f>INT(E25/100000)</f>
        <v>2</v>
      </c>
      <c r="H25" s="23">
        <f>INT(($E25-100000*G25)/10000)</f>
        <v>4</v>
      </c>
      <c r="I25" s="23">
        <f>INT(($E25-100000*G25-10000*H25)/1000)</f>
        <v>0</v>
      </c>
      <c r="J25" s="23">
        <f>INT(($E25-100000*$G25-10000*$H25-1000*$I25)/100)</f>
        <v>2</v>
      </c>
      <c r="K25" s="23">
        <f>INT(($E25-100000*$G25-10000*$H25-1000*$I25-100*$J25)/10)</f>
        <v>1</v>
      </c>
      <c r="L25" s="23">
        <f>INT(($E25-100000*$G25-10000*$H25-1000*$I25-100*$J25-10*$K25))</f>
        <v>5</v>
      </c>
      <c r="M25" s="24">
        <v>2</v>
      </c>
      <c r="N25" s="12" t="s">
        <v>496</v>
      </c>
      <c r="O25" s="26">
        <f>65+K25+10*LOG10(70+L25)+10*LOG10(100/(100+J25*20))</f>
        <v>83.289332277134619</v>
      </c>
      <c r="P25" s="24">
        <f>IF(N25="",0,IF(EXACT(RIGHT(N25,5),"dB(A)"),IF(ABS(VALUE(LEFT(N25,FIND(" ",N25,1)))-O25)&lt;=0.5,1,-1),-1))</f>
        <v>1</v>
      </c>
      <c r="Q25" s="12" t="s">
        <v>497</v>
      </c>
      <c r="R25" s="26">
        <f>10*LOG10(10^((80+G25)/10)*(10+L25)*1000/16/3600+10^((85+H25)/10)*(10+K25)*3000/16/3600+10^((90+J25)/10)*(10+J25)*100/16/3600)</f>
        <v>87.237640453254471</v>
      </c>
      <c r="S25" s="24">
        <f>IF(Q25="",0,IF(EXACT(RIGHT(Q25,5),"dB(A)"),IF(ABS(VALUE(LEFT(Q25,FIND(" ",Q25,1)))-R25)&lt;=0.5,1,-1),-1))</f>
        <v>1</v>
      </c>
      <c r="T25" s="12" t="s">
        <v>498</v>
      </c>
      <c r="U25" s="30">
        <f>4*(500+K25*10+L25)/(400+J25*10)/340*SQRT(8192/4/0.1)</f>
        <v>2.0644481943527473</v>
      </c>
      <c r="V25" s="24">
        <f>IF(T25="",0,IF(EXACT(RIGHT(T25,2)," s"),IF(ABS(VALUE(LEFT(T25,FIND(" ",T25,1)))-U25)&lt;=0.005,1,-1),-1))</f>
        <v>1</v>
      </c>
      <c r="W25" s="12">
        <v>8192</v>
      </c>
      <c r="X25" s="36">
        <f>8*2^(5+L25)</f>
        <v>8192</v>
      </c>
      <c r="Y25" s="24">
        <f>IF(W25="",0,IF(ABS(W25-X25)&lt;=1,1,-1))</f>
        <v>1</v>
      </c>
      <c r="Z25" s="12" t="s">
        <v>499</v>
      </c>
      <c r="AA25" s="26">
        <f>10*LOG10(10^((60+L25-39.4)/10)+10^((63+L25-26.2)/10)+10^((66+L25-16.1)/10)+10^((69+L25-8.6)/10)+10^((72+L25-3.2)/10)+10^((75+L25)/10)+10^((78+L25+1.2)/10)+10^((81+L25+1)/10)+10^((84+L25-1.1)/10)+10^((87+L25-6.6)/10))</f>
        <v>92.684202566927439</v>
      </c>
      <c r="AB25" s="24">
        <f>IF(Z25="",0,IF(EXACT(RIGHT(Z25,5),"dB(A)"),IF(ABS(VALUE(LEFT(Z25,FIND(" ",Z25,1)))-AA25)&lt;=0.2,1,-1),-1))</f>
        <v>1</v>
      </c>
      <c r="AC25" s="12" t="s">
        <v>500</v>
      </c>
      <c r="AD25" s="26">
        <f>10*LOG10((10^((60+L25)/10)*(1+J25)+10^((65+K25)/10)*(2+I25/3))/(1+J25+2+I25/3))</f>
        <v>65.427999507110684</v>
      </c>
      <c r="AE25" s="24">
        <f>IF(AC25="",0,IF(EXACT(RIGHT(AC25,5),"dB(A)"),IF(ABS(VALUE(LEFT(AC25,FIND(" ",AC25,1)))-AD25)&lt;=0.5,1,-1),-1))</f>
        <v>1</v>
      </c>
      <c r="AF25" s="12" t="s">
        <v>501</v>
      </c>
      <c r="AG25" s="26">
        <f>90+K25+10*LOG10(4/(0.16*(300+J25*20)/(1+L25/10)))+3</f>
        <v>84.425523506854631</v>
      </c>
      <c r="AH25" s="24">
        <f>IF(AF25="",0,IF(EXACT(RIGHT(AF25,2),"dB"),IF(ABS(VALUE(LEFT(AF25,FIND(" ",AF25,1)))-AG25)&lt;=0.5,1,-1),-1))</f>
        <v>1</v>
      </c>
      <c r="AI25" s="45" t="s">
        <v>502</v>
      </c>
      <c r="AJ25" s="26">
        <f>10*LOG10(3+40*(2*SQRT(((10+K25)/2)^2+(3+L25/10)^2)-(10+K25))*100*(1+J25)/340)</f>
        <v>18.747351258873696</v>
      </c>
      <c r="AK25" s="24">
        <f>IF(AI25="",0,IF(EXACT(RIGHT(AI25,2),"dB"),IF(ABS(VALUE(LEFT(AI25,FIND(" ",AI25,1)))-AJ25)&lt;=0.5,1,-1),-1))</f>
        <v>1</v>
      </c>
      <c r="AL25" s="12" t="s">
        <v>503</v>
      </c>
      <c r="AM25" s="26">
        <f>80+L25-(80+K25)</f>
        <v>4</v>
      </c>
      <c r="AN25" s="24">
        <f>IF(AL25="",0,IF(EXACT(RIGHT(AL25,2),"dB"),IF(ABS(VALUE(LEFT(AL25,FIND(" ",AL25,1)))-AM25)&lt;=0.5,1,-1),-1))</f>
        <v>1</v>
      </c>
      <c r="AO25" s="12" t="s">
        <v>504</v>
      </c>
      <c r="AP25" s="30">
        <f>((2^(5+L25))/2+1)/48</f>
        <v>10.6875</v>
      </c>
      <c r="AQ25" s="24">
        <f>IF(AO25="",0,IF(EXACT(RIGHT(AO25,2),"ms"),IF(ABS(VALUE(LEFT(AO25,FIND(" ",AO25,1)))-AP25)/AP25&lt;=0.02,1,-1),-1))</f>
        <v>1</v>
      </c>
      <c r="AR25" s="39">
        <f>M25+P25+S25+V25+Y25+AB25+AE25+AH25+AK25+AN25+AQ25</f>
        <v>12</v>
      </c>
    </row>
    <row r="26" spans="1:44" ht="13.2">
      <c r="A26" s="41">
        <v>24</v>
      </c>
      <c r="B26" s="42">
        <v>41992.768054375003</v>
      </c>
      <c r="C26" s="12" t="s">
        <v>1253</v>
      </c>
      <c r="D26" s="12" t="s">
        <v>1254</v>
      </c>
      <c r="E26" s="12">
        <v>239476</v>
      </c>
      <c r="F26" s="23">
        <v>1</v>
      </c>
      <c r="G26" s="23">
        <f>INT(E26/100000)</f>
        <v>2</v>
      </c>
      <c r="H26" s="23">
        <f>INT(($E26-100000*G26)/10000)</f>
        <v>3</v>
      </c>
      <c r="I26" s="23">
        <f>INT(($E26-100000*G26-10000*H26)/1000)</f>
        <v>9</v>
      </c>
      <c r="J26" s="23">
        <f>INT(($E26-100000*$G26-10000*$H26-1000*$I26)/100)</f>
        <v>4</v>
      </c>
      <c r="K26" s="23">
        <f>INT(($E26-100000*$G26-10000*$H26-1000*$I26-100*$J26)/10)</f>
        <v>7</v>
      </c>
      <c r="L26" s="23">
        <f>INT(($E26-100000*$G26-10000*$H26-1000*$I26-100*$J26-10*$K26))</f>
        <v>6</v>
      </c>
      <c r="M26" s="24">
        <v>2</v>
      </c>
      <c r="N26" s="12" t="s">
        <v>1255</v>
      </c>
      <c r="O26" s="26">
        <f>65+K26+10*LOG10(70+L26)+10*LOG10(100/(100+J26*20))</f>
        <v>88.255410871774842</v>
      </c>
      <c r="P26" s="24">
        <f>IF(N26="",0,IF(EXACT(RIGHT(N26,5),"dB(A)"),IF(ABS(VALUE(LEFT(N26,FIND(" ",N26,1)))-O26)&lt;=0.5,1,-1),-1))</f>
        <v>1</v>
      </c>
      <c r="Q26" s="12" t="s">
        <v>1256</v>
      </c>
      <c r="R26" s="26">
        <f>10*LOG10(10^((80+G26)/10)*(10+L26)*1000/16/3600+10^((85+H26)/10)*(10+K26)*3000/16/3600+10^((90+J26)/10)*(10+J26)*100/16/3600)</f>
        <v>88.219965219746882</v>
      </c>
      <c r="S26" s="24">
        <f>IF(Q26="",0,IF(EXACT(RIGHT(Q26,5),"dB(A)"),IF(ABS(VALUE(LEFT(Q26,FIND(" ",Q26,1)))-R26)&lt;=0.5,1,-1),-1))</f>
        <v>1</v>
      </c>
      <c r="T26" s="12" t="s">
        <v>1257</v>
      </c>
      <c r="U26" s="30">
        <f>4*(500+K26*10+L26)/(400+J26*10)/340*SQRT(8192/4/0.1)</f>
        <v>2.2040216556832153</v>
      </c>
      <c r="V26" s="24">
        <f>IF(T26="",0,IF(EXACT(RIGHT(T26,2)," s"),IF(ABS(VALUE(LEFT(T26,FIND(" ",T26,1)))-U26)&lt;=0.005,1,-1),-1))</f>
        <v>1</v>
      </c>
      <c r="W26" s="12">
        <v>16384</v>
      </c>
      <c r="X26" s="36">
        <f>8*2^(5+L26)</f>
        <v>16384</v>
      </c>
      <c r="Y26" s="24">
        <f>IF(W26="",0,IF(ABS(W26-X26)&lt;=1,1,-1))</f>
        <v>1</v>
      </c>
      <c r="Z26" s="12" t="s">
        <v>1258</v>
      </c>
      <c r="AA26" s="26">
        <f>10*LOG10(10^((60+L26-39.4)/10)+10^((63+L26-26.2)/10)+10^((66+L26-16.1)/10)+10^((69+L26-8.6)/10)+10^((72+L26-3.2)/10)+10^((75+L26)/10)+10^((78+L26+1.2)/10)+10^((81+L26+1)/10)+10^((84+L26-1.1)/10)+10^((87+L26-6.6)/10))</f>
        <v>93.684202566927453</v>
      </c>
      <c r="AB26" s="24">
        <f>IF(Z26="",0,IF(EXACT(RIGHT(Z26,5),"dB(A)"),IF(ABS(VALUE(LEFT(Z26,FIND(" ",Z26,1)))-AA26)&lt;=0.2,1,-1),-1))</f>
        <v>1</v>
      </c>
      <c r="AC26" s="45" t="s">
        <v>1259</v>
      </c>
      <c r="AD26" s="26">
        <f>10*LOG10((10^((60+L26)/10)*(1+J26)+10^((65+K26)/10)*(2+I26/3))/(1+J26+2+I26/3))</f>
        <v>69.962927980447148</v>
      </c>
      <c r="AE26" s="24">
        <f>IF(AC26="",0,IF(EXACT(RIGHT(AC26,5),"dB(A)"),IF(ABS(VALUE(LEFT(AC26,FIND(" ",AC26,1)))-AD26)&lt;=0.5,1,-1),-1))</f>
        <v>1</v>
      </c>
      <c r="AF26" s="12" t="s">
        <v>1260</v>
      </c>
      <c r="AG26" s="26">
        <f>90+K26+10*LOG10(4/(0.16*(300+J26*20)/(1+L26/10)))+3</f>
        <v>90.222763947111517</v>
      </c>
      <c r="AH26" s="24">
        <f>IF(AF26="",0,IF(EXACT(RIGHT(AF26,2),"dB"),IF(ABS(VALUE(LEFT(AF26,FIND(" ",AF26,1)))-AG26)&lt;=0.5,1,-1),-1))</f>
        <v>1</v>
      </c>
      <c r="AI26" s="12" t="s">
        <v>1261</v>
      </c>
      <c r="AJ26" s="26">
        <f>10*LOG10(3+40*(2*SQRT(((10+K26)/2)^2+(3+L26/10)^2)-(10+K26))*100*(1+J26)/340)</f>
        <v>19.493476835271274</v>
      </c>
      <c r="AK26" s="24">
        <f>IF(AI26="",0,IF(EXACT(RIGHT(AI26,2),"dB"),IF(ABS(VALUE(LEFT(AI26,FIND(" ",AI26,1)))-AJ26)&lt;=0.5,1,-1),-1))</f>
        <v>1</v>
      </c>
      <c r="AL26" s="12" t="s">
        <v>1262</v>
      </c>
      <c r="AM26" s="26">
        <f>80+L26-(80+K26)</f>
        <v>-1</v>
      </c>
      <c r="AN26" s="24">
        <f>IF(AL26="",0,IF(EXACT(RIGHT(AL26,2),"dB"),IF(ABS(VALUE(LEFT(AL26,FIND(" ",AL26,1)))-AM26)&lt;=0.5,1,-1),-1))</f>
        <v>1</v>
      </c>
      <c r="AO26" s="12" t="s">
        <v>1263</v>
      </c>
      <c r="AP26" s="30">
        <f>((2^(5+L26))/2+1)/48</f>
        <v>21.354166666666668</v>
      </c>
      <c r="AQ26" s="24">
        <f>IF(AO26="",0,IF(EXACT(RIGHT(AO26,2),"ms"),IF(ABS(VALUE(LEFT(AO26,FIND(" ",AO26,1)))-AP26)/AP26&lt;=0.02,1,-1),-1))</f>
        <v>1</v>
      </c>
      <c r="AR26" s="39">
        <f>M26+P26+S26+V26+Y26+AB26+AE26+AH26+AK26+AN26+AQ26</f>
        <v>12</v>
      </c>
    </row>
    <row r="27" spans="1:44" ht="13.2">
      <c r="A27" s="41">
        <v>25</v>
      </c>
      <c r="B27" s="42">
        <v>41992.76533451389</v>
      </c>
      <c r="C27" s="12" t="s">
        <v>794</v>
      </c>
      <c r="D27" s="12" t="s">
        <v>795</v>
      </c>
      <c r="E27" s="12">
        <v>240116</v>
      </c>
      <c r="F27" s="23">
        <v>1</v>
      </c>
      <c r="G27" s="23">
        <f>INT(E27/100000)</f>
        <v>2</v>
      </c>
      <c r="H27" s="23">
        <f>INT(($E27-100000*G27)/10000)</f>
        <v>4</v>
      </c>
      <c r="I27" s="23">
        <f>INT(($E27-100000*G27-10000*H27)/1000)</f>
        <v>0</v>
      </c>
      <c r="J27" s="23">
        <f>INT(($E27-100000*$G27-10000*$H27-1000*$I27)/100)</f>
        <v>1</v>
      </c>
      <c r="K27" s="23">
        <f>INT(($E27-100000*$G27-10000*$H27-1000*$I27-100*$J27)/10)</f>
        <v>1</v>
      </c>
      <c r="L27" s="23">
        <f>INT(($E27-100000*$G27-10000*$H27-1000*$I27-100*$J27-10*$K27))</f>
        <v>6</v>
      </c>
      <c r="M27" s="24">
        <v>2</v>
      </c>
      <c r="N27" s="45" t="s">
        <v>796</v>
      </c>
      <c r="O27" s="26">
        <f>65+K27+10*LOG10(70+L27)+10*LOG10(100/(100+J27*20))</f>
        <v>84.016323462331655</v>
      </c>
      <c r="P27" s="24">
        <f>IF(N27="",0,IF(EXACT(RIGHT(N27,5),"dB(A)"),IF(ABS(VALUE(LEFT(N27,FIND(" ",N27,1)))-O27)&lt;=0.5,1,-1),-1))</f>
        <v>1</v>
      </c>
      <c r="Q27" s="12" t="s">
        <v>797</v>
      </c>
      <c r="R27" s="26">
        <f>10*LOG10(10^((80+G27)/10)*(10+L27)*1000/16/3600+10^((85+H27)/10)*(10+K27)*3000/16/3600+10^((90+J27)/10)*(10+J27)*100/16/3600)</f>
        <v>87.186267889534022</v>
      </c>
      <c r="S27" s="24">
        <f>IF(Q27="",0,IF(EXACT(RIGHT(Q27,5),"dB(A)"),IF(ABS(VALUE(LEFT(Q27,FIND(" ",Q27,1)))-R27)&lt;=0.5,1,-1),-1))</f>
        <v>1</v>
      </c>
      <c r="T27" s="12" t="s">
        <v>798</v>
      </c>
      <c r="U27" s="30">
        <f>4*(500+K27*10+L27)/(400+J27*10)/340*SQRT(8192/4/0.1)</f>
        <v>2.1189069982482942</v>
      </c>
      <c r="V27" s="24">
        <f>IF(T27="",0,IF(EXACT(RIGHT(T27,2)," s"),IF(ABS(VALUE(LEFT(T27,FIND(" ",T27,1)))-U27)&lt;=0.005,1,-1),-1))</f>
        <v>1</v>
      </c>
      <c r="W27" s="12">
        <v>16384</v>
      </c>
      <c r="X27" s="36">
        <f>8*2^(5+L27)</f>
        <v>16384</v>
      </c>
      <c r="Y27" s="24">
        <f>IF(W27="",0,IF(ABS(W27-X27)&lt;=1,1,-1))</f>
        <v>1</v>
      </c>
      <c r="Z27" s="12" t="s">
        <v>799</v>
      </c>
      <c r="AA27" s="26">
        <f>10*LOG10(10^((60+L27-39.4)/10)+10^((63+L27-26.2)/10)+10^((66+L27-16.1)/10)+10^((69+L27-8.6)/10)+10^((72+L27-3.2)/10)+10^((75+L27)/10)+10^((78+L27+1.2)/10)+10^((81+L27+1)/10)+10^((84+L27-1.1)/10)+10^((87+L27-6.6)/10))</f>
        <v>93.684202566927453</v>
      </c>
      <c r="AB27" s="24">
        <f>IF(Z27="",0,IF(EXACT(RIGHT(Z27,5),"dB(A)"),IF(ABS(VALUE(LEFT(Z27,FIND(" ",Z27,1)))-AA27)&lt;=0.2,1,-1),-1))</f>
        <v>1</v>
      </c>
      <c r="AC27" s="45" t="s">
        <v>800</v>
      </c>
      <c r="AD27" s="26">
        <f>10*LOG10((10^((60+L27)/10)*(1+J27)+10^((65+K27)/10)*(2+I27/3))/(1+J27+2+I27/3))</f>
        <v>66</v>
      </c>
      <c r="AE27" s="24">
        <f>IF(AC27="",0,IF(EXACT(RIGHT(AC27,5),"dB(A)"),IF(ABS(VALUE(LEFT(AC27,FIND(" ",AC27,1)))-AD27)&lt;=0.5,1,-1),-1))</f>
        <v>1</v>
      </c>
      <c r="AF27" s="12" t="s">
        <v>801</v>
      </c>
      <c r="AG27" s="26">
        <f>90+K27+10*LOG10(4/(0.16*(300+J27*20)/(1+L27/10)))+3</f>
        <v>84.969100130080562</v>
      </c>
      <c r="AH27" s="24">
        <f>IF(AF27="",0,IF(EXACT(RIGHT(AF27,2),"dB"),IF(ABS(VALUE(LEFT(AF27,FIND(" ",AF27,1)))-AG27)&lt;=0.5,1,-1),-1))</f>
        <v>1</v>
      </c>
      <c r="AI27" s="12" t="s">
        <v>802</v>
      </c>
      <c r="AJ27" s="26">
        <f>10*LOG10(3+40*(2*SQRT(((10+K27)/2)^2+(3+L27/10)^2)-(10+K27))*100*(1+J27)/340)</f>
        <v>17.28470802507076</v>
      </c>
      <c r="AK27" s="24">
        <f>IF(AI27="",0,IF(EXACT(RIGHT(AI27,2),"dB"),IF(ABS(VALUE(LEFT(AI27,FIND(" ",AI27,1)))-AJ27)&lt;=0.5,1,-1),-1))</f>
        <v>1</v>
      </c>
      <c r="AL27" s="12" t="s">
        <v>803</v>
      </c>
      <c r="AM27" s="26">
        <f>80+L27-(80+K27)</f>
        <v>5</v>
      </c>
      <c r="AN27" s="24">
        <f>IF(AL27="",0,IF(EXACT(RIGHT(AL27,2),"dB"),IF(ABS(VALUE(LEFT(AL27,FIND(" ",AL27,1)))-AM27)&lt;=0.5,1,-1),-1))</f>
        <v>1</v>
      </c>
      <c r="AO27" s="12" t="s">
        <v>804</v>
      </c>
      <c r="AP27" s="30">
        <f>((2^(5+L27))/2+1)/48</f>
        <v>21.354166666666668</v>
      </c>
      <c r="AQ27" s="24">
        <f>IF(AO27="",0,IF(EXACT(RIGHT(AO27,2),"ms"),IF(ABS(VALUE(LEFT(AO27,FIND(" ",AO27,1)))-AP27)/AP27&lt;=0.02,1,-1),-1))</f>
        <v>1</v>
      </c>
      <c r="AR27" s="39">
        <f>M27+P27+S27+V27+Y27+AB27+AE27+AH27+AK27+AN27+AQ27</f>
        <v>12</v>
      </c>
    </row>
    <row r="28" spans="1:44" ht="13.2">
      <c r="A28" s="41">
        <v>26</v>
      </c>
      <c r="B28" s="42">
        <v>41992.76988216435</v>
      </c>
      <c r="C28" s="12" t="s">
        <v>1367</v>
      </c>
      <c r="D28" s="12" t="s">
        <v>1368</v>
      </c>
      <c r="E28" s="12">
        <v>240069</v>
      </c>
      <c r="F28" s="23">
        <v>1</v>
      </c>
      <c r="G28" s="23">
        <f>INT(E28/100000)</f>
        <v>2</v>
      </c>
      <c r="H28" s="23">
        <f>INT(($E28-100000*G28)/10000)</f>
        <v>4</v>
      </c>
      <c r="I28" s="23">
        <f>INT(($E28-100000*G28-10000*H28)/1000)</f>
        <v>0</v>
      </c>
      <c r="J28" s="23">
        <f>INT(($E28-100000*$G28-10000*$H28-1000*$I28)/100)</f>
        <v>0</v>
      </c>
      <c r="K28" s="23">
        <f>INT(($E28-100000*$G28-10000*$H28-1000*$I28-100*$J28)/10)</f>
        <v>6</v>
      </c>
      <c r="L28" s="23">
        <f>INT(($E28-100000*$G28-10000*$H28-1000*$I28-100*$J28-10*$K28))</f>
        <v>9</v>
      </c>
      <c r="M28" s="24">
        <v>2</v>
      </c>
      <c r="N28" s="45" t="s">
        <v>1369</v>
      </c>
      <c r="O28" s="26">
        <f>65+K28+10*LOG10(70+L28)+10*LOG10(100/(100+J28*20))</f>
        <v>89.976270912904411</v>
      </c>
      <c r="P28" s="24">
        <f>IF(N28="",0,IF(EXACT(RIGHT(N28,5),"dB(A)"),IF(ABS(VALUE(LEFT(N28,FIND(" ",N28,1)))-O28)&lt;=0.5,1,-1),-1))</f>
        <v>1</v>
      </c>
      <c r="Q28" s="12" t="s">
        <v>1370</v>
      </c>
      <c r="R28" s="26">
        <f>10*LOG10(10^((80+G28)/10)*(10+L28)*1000/16/3600+10^((85+H28)/10)*(10+K28)*3000/16/3600+10^((90+J28)/10)*(10+J28)*100/16/3600)</f>
        <v>88.642622810852473</v>
      </c>
      <c r="S28" s="24">
        <f>IF(Q28="",0,IF(EXACT(RIGHT(Q28,5),"dB(A)"),IF(ABS(VALUE(LEFT(Q28,FIND(" ",Q28,1)))-R28)&lt;=0.5,1,-1),-1))</f>
        <v>1</v>
      </c>
      <c r="T28" s="12" t="s">
        <v>1371</v>
      </c>
      <c r="U28" s="30">
        <f>4*(500+K28*10+L28)/(400+J28*10)/340*SQRT(8192/4/0.1)</f>
        <v>2.3949603373127162</v>
      </c>
      <c r="V28" s="24">
        <f>IF(T28="",0,IF(EXACT(RIGHT(T28,2)," s"),IF(ABS(VALUE(LEFT(T28,FIND(" ",T28,1)))-U28)&lt;=0.005,1,-1),-1))</f>
        <v>1</v>
      </c>
      <c r="W28" s="12">
        <v>131072</v>
      </c>
      <c r="X28" s="36">
        <f>8*2^(5+L28)</f>
        <v>131072</v>
      </c>
      <c r="Y28" s="24">
        <f>IF(W28="",0,IF(ABS(W28-X28)&lt;=1,1,-1))</f>
        <v>1</v>
      </c>
      <c r="Z28" s="12" t="s">
        <v>1372</v>
      </c>
      <c r="AA28" s="26">
        <f>10*LOG10(10^((60+L28-39.4)/10)+10^((63+L28-26.2)/10)+10^((66+L28-16.1)/10)+10^((69+L28-8.6)/10)+10^((72+L28-3.2)/10)+10^((75+L28)/10)+10^((78+L28+1.2)/10)+10^((81+L28+1)/10)+10^((84+L28-1.1)/10)+10^((87+L28-6.6)/10))</f>
        <v>96.684202566927439</v>
      </c>
      <c r="AB28" s="24">
        <f>IF(Z28="",0,IF(EXACT(RIGHT(Z28,5),"dB(A)"),IF(ABS(VALUE(LEFT(Z28,FIND(" ",Z28,1)))-AA28)&lt;=0.2,1,-1),-1))</f>
        <v>1</v>
      </c>
      <c r="AC28" s="12" t="s">
        <v>1373</v>
      </c>
      <c r="AD28" s="26">
        <f>10*LOG10((10^((60+L28)/10)*(1+J28)+10^((65+K28)/10)*(2+I28/3))/(1+J28+2+I28/3))</f>
        <v>70.429925522383144</v>
      </c>
      <c r="AE28" s="24">
        <f>IF(AC28="",0,IF(EXACT(RIGHT(AC28,5),"dB(A)"),IF(ABS(VALUE(LEFT(AC28,FIND(" ",AC28,1)))-AD28)&lt;=0.5,1,-1),-1))</f>
        <v>1</v>
      </c>
      <c r="AF28" s="45" t="s">
        <v>1374</v>
      </c>
      <c r="AG28" s="26">
        <f>90+K28+10*LOG10(4/(0.16*(300+J28*20)/(1+L28/10)))+3</f>
        <v>90.995723549052045</v>
      </c>
      <c r="AH28" s="24">
        <f>IF(AF28="",0,IF(EXACT(RIGHT(AF28,2),"dB"),IF(ABS(VALUE(LEFT(AF28,FIND(" ",AF28,1)))-AG28)&lt;=0.5,1,-1),-1))</f>
        <v>1</v>
      </c>
      <c r="AI28" s="12" t="s">
        <v>1375</v>
      </c>
      <c r="AJ28" s="26">
        <f>10*LOG10(3+40*(2*SQRT(((10+K28)/2)^2+(3+L28/10)^2)-(10+K28))*100*(1+J28)/340)</f>
        <v>13.833929004977954</v>
      </c>
      <c r="AK28" s="24">
        <f>IF(AI28="",0,IF(EXACT(RIGHT(AI28,2),"dB"),IF(ABS(VALUE(LEFT(AI28,FIND(" ",AI28,1)))-AJ28)&lt;=0.5,1,-1),-1))</f>
        <v>1</v>
      </c>
      <c r="AL28" s="12" t="s">
        <v>1376</v>
      </c>
      <c r="AM28" s="26">
        <f>80+L28-(80+K28)</f>
        <v>3</v>
      </c>
      <c r="AN28" s="24">
        <f>IF(AL28="",0,IF(EXACT(RIGHT(AL28,2),"dB"),IF(ABS(VALUE(LEFT(AL28,FIND(" ",AL28,1)))-AM28)&lt;=0.5,1,-1),-1))</f>
        <v>1</v>
      </c>
      <c r="AO28" s="12" t="s">
        <v>1377</v>
      </c>
      <c r="AP28" s="30">
        <f>((2^(5+L28))/2+1)/48</f>
        <v>170.6875</v>
      </c>
      <c r="AQ28" s="24">
        <f>IF(AO28="",0,IF(EXACT(RIGHT(AO28,2),"ms"),IF(ABS(VALUE(LEFT(AO28,FIND(" ",AO28,1)))-AP28)/AP28&lt;=0.02,1,-1),-1))</f>
        <v>1</v>
      </c>
      <c r="AR28" s="39">
        <f>M28+P28+S28+V28+Y28+AB28+AE28+AH28+AK28+AN28+AQ28</f>
        <v>12</v>
      </c>
    </row>
    <row r="29" spans="1:44" ht="13.2">
      <c r="A29" s="41">
        <v>27</v>
      </c>
      <c r="B29" s="42">
        <v>41992.766980567132</v>
      </c>
      <c r="C29" s="12" t="s">
        <v>1088</v>
      </c>
      <c r="D29" s="12" t="s">
        <v>1089</v>
      </c>
      <c r="E29" s="12">
        <v>239156</v>
      </c>
      <c r="F29" s="23">
        <v>1</v>
      </c>
      <c r="G29" s="23">
        <f>INT(E29/100000)</f>
        <v>2</v>
      </c>
      <c r="H29" s="23">
        <f>INT(($E29-100000*G29)/10000)</f>
        <v>3</v>
      </c>
      <c r="I29" s="23">
        <f>INT(($E29-100000*G29-10000*H29)/1000)</f>
        <v>9</v>
      </c>
      <c r="J29" s="23">
        <f>INT(($E29-100000*$G29-10000*$H29-1000*$I29)/100)</f>
        <v>1</v>
      </c>
      <c r="K29" s="23">
        <f>INT(($E29-100000*$G29-10000*$H29-1000*$I29-100*$J29)/10)</f>
        <v>5</v>
      </c>
      <c r="L29" s="23">
        <f>INT(($E29-100000*$G29-10000*$H29-1000*$I29-100*$J29-10*$K29))</f>
        <v>6</v>
      </c>
      <c r="M29" s="24">
        <v>2</v>
      </c>
      <c r="N29" s="45" t="s">
        <v>1090</v>
      </c>
      <c r="O29" s="26">
        <f>65+K29+10*LOG10(70+L29)+10*LOG10(100/(100+J29*20))</f>
        <v>88.016323462331655</v>
      </c>
      <c r="P29" s="24">
        <f>IF(N29="",0,IF(EXACT(RIGHT(N29,5),"dB(A)"),IF(ABS(VALUE(LEFT(N29,FIND(" ",N29,1)))-O29)&lt;=0.5,1,-1),-1))</f>
        <v>1</v>
      </c>
      <c r="Q29" s="12" t="s">
        <v>1091</v>
      </c>
      <c r="R29" s="26">
        <f>10*LOG10(10^((80+G29)/10)*(10+L29)*1000/16/3600+10^((85+H29)/10)*(10+K29)*3000/16/3600+10^((90+J29)/10)*(10+J29)*100/16/3600)</f>
        <v>87.489645756918563</v>
      </c>
      <c r="S29" s="24">
        <f>IF(Q29="",0,IF(EXACT(RIGHT(Q29,5),"dB(A)"),IF(ABS(VALUE(LEFT(Q29,FIND(" ",Q29,1)))-R29)&lt;=0.5,1,-1),-1))</f>
        <v>1</v>
      </c>
      <c r="T29" s="45" t="s">
        <v>1092</v>
      </c>
      <c r="U29" s="30">
        <f>4*(500+K29*10+L29)/(400+J29*10)/340*SQRT(8192/4/0.1)</f>
        <v>2.2831633547016508</v>
      </c>
      <c r="V29" s="24">
        <f>IF(T29="",0,IF(EXACT(RIGHT(T29,2)," s"),IF(ABS(VALUE(LEFT(T29,FIND(" ",T29,1)))-U29)&lt;=0.005,1,-1),-1))</f>
        <v>1</v>
      </c>
      <c r="W29" s="12">
        <v>16384</v>
      </c>
      <c r="X29" s="36">
        <f>8*2^(5+L29)</f>
        <v>16384</v>
      </c>
      <c r="Y29" s="24">
        <f>IF(W29="",0,IF(ABS(W29-X29)&lt;=1,1,-1))</f>
        <v>1</v>
      </c>
      <c r="Z29" s="12" t="s">
        <v>1093</v>
      </c>
      <c r="AA29" s="26">
        <f>10*LOG10(10^((60+L29-39.4)/10)+10^((63+L29-26.2)/10)+10^((66+L29-16.1)/10)+10^((69+L29-8.6)/10)+10^((72+L29-3.2)/10)+10^((75+L29)/10)+10^((78+L29+1.2)/10)+10^((81+L29+1)/10)+10^((84+L29-1.1)/10)+10^((87+L29-6.6)/10))</f>
        <v>93.684202566927453</v>
      </c>
      <c r="AB29" s="24">
        <f>IF(Z29="",0,IF(EXACT(RIGHT(Z29,5),"dB(A)"),IF(ABS(VALUE(LEFT(Z29,FIND(" ",Z29,1)))-AA29)&lt;=0.2,1,-1),-1))</f>
        <v>1</v>
      </c>
      <c r="AC29" s="12" t="s">
        <v>1094</v>
      </c>
      <c r="AD29" s="26">
        <f>10*LOG10((10^((60+L29)/10)*(1+J29)+10^((65+K29)/10)*(2+I29/3))/(1+J29+2+I29/3))</f>
        <v>69.180463970745336</v>
      </c>
      <c r="AE29" s="24">
        <f>IF(AC29="",0,IF(EXACT(RIGHT(AC29,5),"dB(A)"),IF(ABS(VALUE(LEFT(AC29,FIND(" ",AC29,1)))-AD29)&lt;=0.5,1,-1),-1))</f>
        <v>1</v>
      </c>
      <c r="AF29" s="45" t="s">
        <v>1095</v>
      </c>
      <c r="AG29" s="26">
        <f>90+K29+10*LOG10(4/(0.16*(300+J29*20)/(1+L29/10)))+3</f>
        <v>88.969100130080562</v>
      </c>
      <c r="AH29" s="24">
        <f>IF(AF29="",0,IF(EXACT(RIGHT(AF29,2),"dB"),IF(ABS(VALUE(LEFT(AF29,FIND(" ",AF29,1)))-AG29)&lt;=0.5,1,-1),-1))</f>
        <v>1</v>
      </c>
      <c r="AI29" s="12" t="s">
        <v>1096</v>
      </c>
      <c r="AJ29" s="26">
        <f>10*LOG10(3+40*(2*SQRT(((10+K29)/2)^2+(3+L29/10)^2)-(10+K29))*100*(1+J29)/340)</f>
        <v>16.186041173837889</v>
      </c>
      <c r="AK29" s="24">
        <f>IF(AI29="",0,IF(EXACT(RIGHT(AI29,2),"dB"),IF(ABS(VALUE(LEFT(AI29,FIND(" ",AI29,1)))-AJ29)&lt;=0.5,1,-1),-1))</f>
        <v>1</v>
      </c>
      <c r="AL29" s="12" t="s">
        <v>1097</v>
      </c>
      <c r="AM29" s="26">
        <f>80+L29-(80+K29)</f>
        <v>1</v>
      </c>
      <c r="AN29" s="24">
        <f>IF(AL29="",0,IF(EXACT(RIGHT(AL29,2),"dB"),IF(ABS(VALUE(LEFT(AL29,FIND(" ",AL29,1)))-AM29)&lt;=0.5,1,-1),-1))</f>
        <v>1</v>
      </c>
      <c r="AO29" s="45" t="s">
        <v>1098</v>
      </c>
      <c r="AP29" s="30">
        <f>((2^(5+L29))/2+1)/48</f>
        <v>21.354166666666668</v>
      </c>
      <c r="AQ29" s="24">
        <f>IF(AO29="",0,IF(EXACT(RIGHT(AO29,2),"ms"),IF(ABS(VALUE(LEFT(AO29,FIND(" ",AO29,1)))-AP29)/AP29&lt;=0.02,1,-1),-1))</f>
        <v>1</v>
      </c>
      <c r="AR29" s="39">
        <f>M29+P29+S29+V29+Y29+AB29+AE29+AH29+AK29+AN29+AQ29</f>
        <v>12</v>
      </c>
    </row>
    <row r="30" spans="1:44" ht="13.2">
      <c r="A30" s="41">
        <v>28</v>
      </c>
      <c r="B30" s="42">
        <v>41992.750114965282</v>
      </c>
      <c r="C30" s="12" t="s">
        <v>18</v>
      </c>
      <c r="D30" s="12" t="s">
        <v>19</v>
      </c>
      <c r="E30" s="12">
        <v>211488</v>
      </c>
      <c r="F30" s="23">
        <v>1</v>
      </c>
      <c r="G30" s="23">
        <f>INT(E30/100000)</f>
        <v>2</v>
      </c>
      <c r="H30" s="23">
        <f>INT(($E30-100000*G30)/10000)</f>
        <v>1</v>
      </c>
      <c r="I30" s="23">
        <f>INT(($E30-100000*G30-10000*H30)/1000)</f>
        <v>1</v>
      </c>
      <c r="J30" s="23">
        <f>INT(($E30-100000*$G30-10000*$H30-1000*$I30)/100)</f>
        <v>4</v>
      </c>
      <c r="K30" s="23">
        <f>INT(($E30-100000*$G30-10000*$H30-1000*$I30-100*$J30)/10)</f>
        <v>8</v>
      </c>
      <c r="L30" s="23">
        <f>INT(($E30-100000*$G30-10000*$H30-1000*$I30-100*$J30-10*$K30))</f>
        <v>8</v>
      </c>
      <c r="M30" s="24">
        <v>2</v>
      </c>
      <c r="N30" s="12" t="s">
        <v>20</v>
      </c>
      <c r="O30" s="26">
        <f>65+K30+10*LOG10(70+L30)+10*LOG10(100/(100+J30*20))</f>
        <v>89.368220975871736</v>
      </c>
      <c r="P30" s="24">
        <f>IF(N30="",0,IF(EXACT(RIGHT(N30,5),"dB(A)"),IF(ABS(VALUE(LEFT(N30,FIND(" ",N30,1)))-O30)&lt;=0.5,1,-1),-1))</f>
        <v>1</v>
      </c>
      <c r="Q30" s="12" t="s">
        <v>21</v>
      </c>
      <c r="R30" s="26">
        <f>10*LOG10(10^((80+G30)/10)*(10+L30)*1000/16/3600+10^((85+H30)/10)*(10+K30)*3000/16/3600+10^((90+J30)/10)*(10+J30)*100/16/3600)</f>
        <v>86.846714114952647</v>
      </c>
      <c r="S30" s="24">
        <f>IF(Q30="",0,IF(EXACT(RIGHT(Q30,5),"dB(A)"),IF(ABS(VALUE(LEFT(Q30,FIND(" ",Q30,1)))-R30)&lt;=0.5,1,-1),-1))</f>
        <v>1</v>
      </c>
      <c r="T30" s="12" t="s">
        <v>22</v>
      </c>
      <c r="U30" s="30">
        <f>4*(500+K30*10+L30)/(400+J30*10)/340*SQRT(8192/4/0.1)</f>
        <v>2.2499387735099492</v>
      </c>
      <c r="V30" s="24">
        <f>IF(T30="",0,IF(EXACT(RIGHT(T30,2)," s"),IF(ABS(VALUE(LEFT(T30,FIND(" ",T30,1)))-U30)&lt;=0.005,1,-1),-1))</f>
        <v>1</v>
      </c>
      <c r="W30" s="12">
        <v>65536</v>
      </c>
      <c r="X30" s="36">
        <f>8*2^(5+L30)</f>
        <v>65536</v>
      </c>
      <c r="Y30" s="24">
        <f>IF(W30="",0,IF(ABS(W30-X30)&lt;=1,1,-1))</f>
        <v>1</v>
      </c>
      <c r="Z30" s="43"/>
      <c r="AA30" s="26">
        <f>10*LOG10(10^((60+L30-39.4)/10)+10^((63+L30-26.2)/10)+10^((66+L30-16.1)/10)+10^((69+L30-8.6)/10)+10^((72+L30-3.2)/10)+10^((75+L30)/10)+10^((78+L30+1.2)/10)+10^((81+L30+1)/10)+10^((84+L30-1.1)/10)+10^((87+L30-6.6)/10))</f>
        <v>95.684202566927453</v>
      </c>
      <c r="AB30" s="24">
        <f>IF(Z30="",0,IF(EXACT(RIGHT(Z30,5),"dB(A)"),IF(ABS(VALUE(LEFT(Z30,FIND(" ",Z30,1)))-AA30)&lt;=0.2,1,-1),-1))</f>
        <v>0</v>
      </c>
      <c r="AC30" s="12" t="s">
        <v>23</v>
      </c>
      <c r="AD30" s="26">
        <f>10*LOG10((10^((60+L30)/10)*(1+J30)+10^((65+K30)/10)*(2+I30/3))/(1+J30+2+I30/3))</f>
        <v>70.273717829555778</v>
      </c>
      <c r="AE30" s="24">
        <f>IF(AC30="",0,IF(EXACT(RIGHT(AC30,5),"dB(A)"),IF(ABS(VALUE(LEFT(AC30,FIND(" ",AC30,1)))-AD30)&lt;=0.5,1,-1),-1))</f>
        <v>1</v>
      </c>
      <c r="AF30" s="12" t="s">
        <v>24</v>
      </c>
      <c r="AG30" s="26">
        <f>90+K30+10*LOG10(4/(0.16*(300+J30*20)/(1+L30/10)))+3</f>
        <v>91.734289171585331</v>
      </c>
      <c r="AH30" s="24">
        <f>IF(AF30="",0,IF(EXACT(RIGHT(AF30,2),"dB"),IF(ABS(VALUE(LEFT(AF30,FIND(" ",AF30,1)))-AG30)&lt;=0.5,1,-1),-1))</f>
        <v>1</v>
      </c>
      <c r="AI30" s="12" t="s">
        <v>25</v>
      </c>
      <c r="AJ30" s="26">
        <f>10*LOG10(3+40*(2*SQRT(((10+K30)/2)^2+(3+L30/10)^2)-(10+K30))*100*(1+J30)/340)</f>
        <v>19.708606761126056</v>
      </c>
      <c r="AK30" s="24">
        <f>IF(AI30="",0,IF(EXACT(RIGHT(AI30,2),"dB"),IF(ABS(VALUE(LEFT(AI30,FIND(" ",AI30,1)))-AJ30)&lt;=0.5,1,-1),-1))</f>
        <v>1</v>
      </c>
      <c r="AL30" s="12" t="s">
        <v>26</v>
      </c>
      <c r="AM30" s="26">
        <f>80+L30-(80+K30)</f>
        <v>0</v>
      </c>
      <c r="AN30" s="24">
        <f>IF(AL30="",0,IF(EXACT(RIGHT(AL30,2),"dB"),IF(ABS(VALUE(LEFT(AL30,FIND(" ",AL30,1)))-AM30)&lt;=0.5,1,-1),-1))</f>
        <v>1</v>
      </c>
      <c r="AO30" s="12" t="s">
        <v>27</v>
      </c>
      <c r="AP30" s="30">
        <f>((2^(5+L30))/2+1)/48</f>
        <v>85.354166666666671</v>
      </c>
      <c r="AQ30" s="24">
        <f>IF(AO30="",0,IF(EXACT(RIGHT(AO30,2),"ms"),IF(ABS(VALUE(LEFT(AO30,FIND(" ",AO30,1)))-AP30)/AP30&lt;=0.02,1,-1),-1))</f>
        <v>1</v>
      </c>
      <c r="AR30" s="39">
        <f>M30+P30+S30+V30+Y30+AB30+AE30+AH30+AK30+AN30+AQ30</f>
        <v>11</v>
      </c>
    </row>
    <row r="31" spans="1:44" ht="13.2">
      <c r="A31" s="41">
        <v>29</v>
      </c>
      <c r="B31" s="42">
        <v>41992.759090821761</v>
      </c>
      <c r="C31" s="12" t="s">
        <v>154</v>
      </c>
      <c r="D31" s="12" t="s">
        <v>155</v>
      </c>
      <c r="E31" s="12">
        <v>241028</v>
      </c>
      <c r="F31" s="23">
        <v>1</v>
      </c>
      <c r="G31" s="23">
        <f>INT(E31/100000)</f>
        <v>2</v>
      </c>
      <c r="H31" s="23">
        <f>INT(($E31-100000*G31)/10000)</f>
        <v>4</v>
      </c>
      <c r="I31" s="23">
        <f>INT(($E31-100000*G31-10000*H31)/1000)</f>
        <v>1</v>
      </c>
      <c r="J31" s="23">
        <f>INT(($E31-100000*$G31-10000*$H31-1000*$I31)/100)</f>
        <v>0</v>
      </c>
      <c r="K31" s="23">
        <f>INT(($E31-100000*$G31-10000*$H31-1000*$I31-100*$J31)/10)</f>
        <v>2</v>
      </c>
      <c r="L31" s="23">
        <f>INT(($E31-100000*$G31-10000*$H31-1000*$I31-100*$J31-10*$K31))</f>
        <v>8</v>
      </c>
      <c r="M31" s="24">
        <v>2</v>
      </c>
      <c r="N31" s="12" t="s">
        <v>156</v>
      </c>
      <c r="O31" s="26">
        <f>65+K31+10*LOG10(70+L31)+10*LOG10(100/(100+J31*20))</f>
        <v>85.920946026904801</v>
      </c>
      <c r="P31" s="24">
        <f>IF(N31="",0,IF(EXACT(RIGHT(N31,5),"dB(A)"),IF(ABS(VALUE(LEFT(N31,FIND(" ",N31,1)))-O31)&lt;=0.5,1,-1),-1))</f>
        <v>1</v>
      </c>
      <c r="Q31" s="12" t="s">
        <v>157</v>
      </c>
      <c r="R31" s="26">
        <f>10*LOG10(10^((80+G31)/10)*(10+L31)*1000/16/3600+10^((85+H31)/10)*(10+K31)*3000/16/3600+10^((90+J31)/10)*(10+J31)*100/16/3600)</f>
        <v>87.507738042606903</v>
      </c>
      <c r="S31" s="24">
        <f>IF(Q31="",0,IF(EXACT(RIGHT(Q31,5),"dB(A)"),IF(ABS(VALUE(LEFT(Q31,FIND(" ",Q31,1)))-R31)&lt;=0.5,1,-1),-1))</f>
        <v>1</v>
      </c>
      <c r="T31" s="12" t="s">
        <v>158</v>
      </c>
      <c r="U31" s="30">
        <f>4*(500+K31*10+L31)/(400+J31*10)/340*SQRT(8192/4/0.1)</f>
        <v>2.2223885028139088</v>
      </c>
      <c r="V31" s="24">
        <f>IF(T31="",0,IF(EXACT(RIGHT(T31,2)," s"),IF(ABS(VALUE(LEFT(T31,FIND(" ",T31,1)))-U31)&lt;=0.005,1,-1),-1))</f>
        <v>1</v>
      </c>
      <c r="W31" s="12">
        <v>65536</v>
      </c>
      <c r="X31" s="36">
        <f>8*2^(5+L31)</f>
        <v>65536</v>
      </c>
      <c r="Y31" s="24">
        <f>IF(W31="",0,IF(ABS(W31-X31)&lt;=1,1,-1))</f>
        <v>1</v>
      </c>
      <c r="Z31" s="43"/>
      <c r="AA31" s="26">
        <f>10*LOG10(10^((60+L31-39.4)/10)+10^((63+L31-26.2)/10)+10^((66+L31-16.1)/10)+10^((69+L31-8.6)/10)+10^((72+L31-3.2)/10)+10^((75+L31)/10)+10^((78+L31+1.2)/10)+10^((81+L31+1)/10)+10^((84+L31-1.1)/10)+10^((87+L31-6.6)/10))</f>
        <v>95.684202566927453</v>
      </c>
      <c r="AB31" s="24">
        <f>IF(Z31="",0,IF(EXACT(RIGHT(Z31,5),"dB(A)"),IF(ABS(VALUE(LEFT(Z31,FIND(" ",Z31,1)))-AA31)&lt;=0.2,1,-1),-1))</f>
        <v>0</v>
      </c>
      <c r="AC31" s="12" t="s">
        <v>159</v>
      </c>
      <c r="AD31" s="26">
        <f>10*LOG10((10^((60+L31)/10)*(1+J31)+10^((65+K31)/10)*(2+I31/3))/(1+J31+2+I31/3))</f>
        <v>67.32488865435981</v>
      </c>
      <c r="AE31" s="24">
        <f>IF(AC31="",0,IF(EXACT(RIGHT(AC31,5),"dB(A)"),IF(ABS(VALUE(LEFT(AC31,FIND(" ",AC31,1)))-AD31)&lt;=0.5,1,-1),-1))</f>
        <v>1</v>
      </c>
      <c r="AF31" s="12" t="s">
        <v>160</v>
      </c>
      <c r="AG31" s="26">
        <f>90+K31+10*LOG10(4/(0.16*(300+J31*20)/(1+L31/10)))+3</f>
        <v>86.760912590556813</v>
      </c>
      <c r="AH31" s="24">
        <f>IF(AF31="",0,IF(EXACT(RIGHT(AF31,2),"dB"),IF(ABS(VALUE(LEFT(AF31,FIND(" ",AF31,1)))-AG31)&lt;=0.5,1,-1),-1))</f>
        <v>1</v>
      </c>
      <c r="AI31" s="12" t="s">
        <v>161</v>
      </c>
      <c r="AJ31" s="26">
        <f>10*LOG10(3+40*(2*SQRT(((10+K31)/2)^2+(3+L31/10)^2)-(10+K31))*100*(1+J31)/340)</f>
        <v>14.61379290613937</v>
      </c>
      <c r="AK31" s="24">
        <f>IF(AI31="",0,IF(EXACT(RIGHT(AI31,2),"dB"),IF(ABS(VALUE(LEFT(AI31,FIND(" ",AI31,1)))-AJ31)&lt;=0.5,1,-1),-1))</f>
        <v>1</v>
      </c>
      <c r="AL31" s="12" t="s">
        <v>162</v>
      </c>
      <c r="AM31" s="26">
        <f>80+L31-(80+K31)</f>
        <v>6</v>
      </c>
      <c r="AN31" s="24">
        <f>IF(AL31="",0,IF(EXACT(RIGHT(AL31,2),"dB"),IF(ABS(VALUE(LEFT(AL31,FIND(" ",AL31,1)))-AM31)&lt;=0.5,1,-1),-1))</f>
        <v>1</v>
      </c>
      <c r="AO31" s="12" t="s">
        <v>163</v>
      </c>
      <c r="AP31" s="30">
        <f>((2^(5+L31))/2+1)/48</f>
        <v>85.354166666666671</v>
      </c>
      <c r="AQ31" s="24">
        <f>IF(AO31="",0,IF(EXACT(RIGHT(AO31,2),"ms"),IF(ABS(VALUE(LEFT(AO31,FIND(" ",AO31,1)))-AP31)/AP31&lt;=0.02,1,-1),-1))</f>
        <v>1</v>
      </c>
      <c r="AR31" s="39">
        <f>M31+P31+S31+V31+Y31+AB31+AE31+AH31+AK31+AN31+AQ31</f>
        <v>11</v>
      </c>
    </row>
    <row r="32" spans="1:44" ht="13.2">
      <c r="A32" s="41">
        <v>30</v>
      </c>
      <c r="B32" s="42">
        <v>41992.762217592586</v>
      </c>
      <c r="C32" s="12" t="s">
        <v>366</v>
      </c>
      <c r="D32" s="12" t="s">
        <v>367</v>
      </c>
      <c r="E32" s="12">
        <v>239517</v>
      </c>
      <c r="F32" s="23">
        <v>1</v>
      </c>
      <c r="G32" s="23">
        <f>INT(E32/100000)</f>
        <v>2</v>
      </c>
      <c r="H32" s="23">
        <f>INT(($E32-100000*G32)/10000)</f>
        <v>3</v>
      </c>
      <c r="I32" s="23">
        <f>INT(($E32-100000*G32-10000*H32)/1000)</f>
        <v>9</v>
      </c>
      <c r="J32" s="23">
        <f>INT(($E32-100000*$G32-10000*$H32-1000*$I32)/100)</f>
        <v>5</v>
      </c>
      <c r="K32" s="23">
        <f>INT(($E32-100000*$G32-10000*$H32-1000*$I32-100*$J32)/10)</f>
        <v>1</v>
      </c>
      <c r="L32" s="23">
        <f>INT(($E32-100000*$G32-10000*$H32-1000*$I32-100*$J32-10*$K32))</f>
        <v>7</v>
      </c>
      <c r="M32" s="24">
        <v>2</v>
      </c>
      <c r="N32" s="12" t="s">
        <v>368</v>
      </c>
      <c r="O32" s="26">
        <f>65+K32+10*LOG10(70+L32)+10*LOG10(100/(100+J32*20))</f>
        <v>81.854607295085003</v>
      </c>
      <c r="P32" s="24">
        <f>IF(N32="",0,IF(EXACT(RIGHT(N32,5),"dB(A)"),IF(ABS(VALUE(LEFT(N32,FIND(" ",N32,1)))-O32)&lt;=0.5,1,-1),-1))</f>
        <v>1</v>
      </c>
      <c r="Q32" s="12" t="s">
        <v>369</v>
      </c>
      <c r="R32" s="26">
        <f>10*LOG10(10^((80+G32)/10)*(10+L32)*1000/16/3600+10^((85+H32)/10)*(10+K32)*3000/16/3600+10^((90+J32)/10)*(10+J32)*100/16/3600)</f>
        <v>86.907393358102439</v>
      </c>
      <c r="S32" s="24">
        <f>IF(Q32="",0,IF(EXACT(RIGHT(Q32,5),"dB(A)"),IF(ABS(VALUE(LEFT(Q32,FIND(" ",Q32,1)))-R32)&lt;=0.5,1,-1),-1))</f>
        <v>1</v>
      </c>
      <c r="T32" s="12" t="s">
        <v>370</v>
      </c>
      <c r="U32" s="30">
        <f>4*(500+K32*10+L32)/(400+J32*10)/340*SQRT(8192/4/0.1)</f>
        <v>1.9343011043009946</v>
      </c>
      <c r="V32" s="24">
        <f>IF(T32="",0,IF(EXACT(RIGHT(T32,2)," s"),IF(ABS(VALUE(LEFT(T32,FIND(" ",T32,1)))-U32)&lt;=0.005,1,-1),-1))</f>
        <v>1</v>
      </c>
      <c r="W32" s="12">
        <v>32768</v>
      </c>
      <c r="X32" s="36">
        <f>8*2^(5+L32)</f>
        <v>32768</v>
      </c>
      <c r="Y32" s="24">
        <f>IF(W32="",0,IF(ABS(W32-X32)&lt;=1,1,-1))</f>
        <v>1</v>
      </c>
      <c r="Z32" s="43"/>
      <c r="AA32" s="26">
        <f>10*LOG10(10^((60+L32-39.4)/10)+10^((63+L32-26.2)/10)+10^((66+L32-16.1)/10)+10^((69+L32-8.6)/10)+10^((72+L32-3.2)/10)+10^((75+L32)/10)+10^((78+L32+1.2)/10)+10^((81+L32+1)/10)+10^((84+L32-1.1)/10)+10^((87+L32-6.6)/10))</f>
        <v>94.684202566927453</v>
      </c>
      <c r="AB32" s="24">
        <f>IF(Z32="",0,IF(EXACT(RIGHT(Z32,5),"dB(A)"),IF(ABS(VALUE(LEFT(Z32,FIND(" ",Z32,1)))-AA32)&lt;=0.2,1,-1),-1))</f>
        <v>0</v>
      </c>
      <c r="AC32" s="12" t="s">
        <v>371</v>
      </c>
      <c r="AD32" s="26">
        <f>10*LOG10((10^((60+L32)/10)*(1+J32)+10^((65+K32)/10)*(2+I32/3))/(1+J32+2+I32/3))</f>
        <v>66.57373957004036</v>
      </c>
      <c r="AE32" s="24">
        <f>IF(AC32="",0,IF(EXACT(RIGHT(AC32,5),"dB(A)"),IF(ABS(VALUE(LEFT(AC32,FIND(" ",AC32,1)))-AD32)&lt;=0.5,1,-1),-1))</f>
        <v>1</v>
      </c>
      <c r="AF32" s="12" t="s">
        <v>372</v>
      </c>
      <c r="AG32" s="26">
        <f>90+K32+10*LOG10(4/(0.16*(300+J32*20)/(1+L32/10)))+3</f>
        <v>84.263289387223494</v>
      </c>
      <c r="AH32" s="24">
        <f>IF(AF32="",0,IF(EXACT(RIGHT(AF32,2),"dB"),IF(ABS(VALUE(LEFT(AF32,FIND(" ",AF32,1)))-AG32)&lt;=0.5,1,-1),-1))</f>
        <v>1</v>
      </c>
      <c r="AI32" s="12" t="s">
        <v>373</v>
      </c>
      <c r="AJ32" s="26">
        <f>10*LOG10(3+40*(2*SQRT(((10+K32)/2)^2+(3+L32/10)^2)-(10+K32))*100*(1+J32)/340)</f>
        <v>22.104508582527728</v>
      </c>
      <c r="AK32" s="24">
        <f>IF(AI32="",0,IF(EXACT(RIGHT(AI32,2),"dB"),IF(ABS(VALUE(LEFT(AI32,FIND(" ",AI32,1)))-AJ32)&lt;=0.5,1,-1),-1))</f>
        <v>1</v>
      </c>
      <c r="AL32" s="12" t="s">
        <v>374</v>
      </c>
      <c r="AM32" s="26">
        <f>80+L32-(80+K32)</f>
        <v>6</v>
      </c>
      <c r="AN32" s="24">
        <f>IF(AL32="",0,IF(EXACT(RIGHT(AL32,2),"dB"),IF(ABS(VALUE(LEFT(AL32,FIND(" ",AL32,1)))-AM32)&lt;=0.5,1,-1),-1))</f>
        <v>1</v>
      </c>
      <c r="AO32" s="12" t="s">
        <v>375</v>
      </c>
      <c r="AP32" s="30">
        <f>((2^(5+L32))/2+1)/48</f>
        <v>42.6875</v>
      </c>
      <c r="AQ32" s="24">
        <f>IF(AO32="",0,IF(EXACT(RIGHT(AO32,2),"ms"),IF(ABS(VALUE(LEFT(AO32,FIND(" ",AO32,1)))-AP32)/AP32&lt;=0.02,1,-1),-1))</f>
        <v>1</v>
      </c>
      <c r="AR32" s="39">
        <f>M32+P32+S32+V32+Y32+AB32+AE32+AH32+AK32+AN32+AQ32</f>
        <v>11</v>
      </c>
    </row>
    <row r="33" spans="1:44" ht="13.2">
      <c r="A33" s="41">
        <v>31</v>
      </c>
      <c r="B33" s="42">
        <v>41992.762300868053</v>
      </c>
      <c r="C33" s="12" t="s">
        <v>390</v>
      </c>
      <c r="D33" s="12" t="s">
        <v>391</v>
      </c>
      <c r="E33" s="12">
        <v>239564</v>
      </c>
      <c r="F33" s="23">
        <v>1</v>
      </c>
      <c r="G33" s="23">
        <f>INT(E33/100000)</f>
        <v>2</v>
      </c>
      <c r="H33" s="23">
        <f>INT(($E33-100000*G33)/10000)</f>
        <v>3</v>
      </c>
      <c r="I33" s="23">
        <f>INT(($E33-100000*G33-10000*H33)/1000)</f>
        <v>9</v>
      </c>
      <c r="J33" s="23">
        <f>INT(($E33-100000*$G33-10000*$H33-1000*$I33)/100)</f>
        <v>5</v>
      </c>
      <c r="K33" s="23">
        <f>INT(($E33-100000*$G33-10000*$H33-1000*$I33-100*$J33)/10)</f>
        <v>6</v>
      </c>
      <c r="L33" s="23">
        <f>INT(($E33-100000*$G33-10000*$H33-1000*$I33-100*$J33-10*$K33))</f>
        <v>4</v>
      </c>
      <c r="M33" s="24">
        <v>2</v>
      </c>
      <c r="N33" s="12" t="s">
        <v>392</v>
      </c>
      <c r="O33" s="26">
        <f>65+K33+10*LOG10(70+L33)+10*LOG10(100/(100+J33*20))</f>
        <v>86.68201724066995</v>
      </c>
      <c r="P33" s="24">
        <f>IF(N33="",0,IF(EXACT(RIGHT(N33,5),"dB(A)"),IF(ABS(VALUE(LEFT(N33,FIND(" ",N33,1)))-O33)&lt;=0.5,1,-1),-1))</f>
        <v>1</v>
      </c>
      <c r="Q33" s="12" t="s">
        <v>393</v>
      </c>
      <c r="R33" s="26">
        <f>10*LOG10(10^((80+G33)/10)*(10+L33)*1000/16/3600+10^((85+H33)/10)*(10+K33)*3000/16/3600+10^((90+J33)/10)*(10+J33)*100/16/3600)</f>
        <v>88.106830344104338</v>
      </c>
      <c r="S33" s="24">
        <f>IF(Q33="",0,IF(EXACT(RIGHT(Q33,5),"dB(A)"),IF(ABS(VALUE(LEFT(Q33,FIND(" ",Q33,1)))-R33)&lt;=0.5,1,-1),-1))</f>
        <v>1</v>
      </c>
      <c r="T33" s="12" t="s">
        <v>394</v>
      </c>
      <c r="U33" s="30">
        <f>4*(500+K33*10+L33)/(400+J33*10)/340*SQRT(8192/4/0.1)</f>
        <v>2.1101466592374489</v>
      </c>
      <c r="V33" s="24">
        <f>IF(T33="",0,IF(EXACT(RIGHT(T33,2)," s"),IF(ABS(VALUE(LEFT(T33,FIND(" ",T33,1)))-U33)&lt;=0.005,1,-1),-1))</f>
        <v>1</v>
      </c>
      <c r="W33" s="12">
        <v>4096</v>
      </c>
      <c r="X33" s="36">
        <f>8*2^(5+L33)</f>
        <v>4096</v>
      </c>
      <c r="Y33" s="24">
        <f>IF(W33="",0,IF(ABS(W33-X33)&lt;=1,1,-1))</f>
        <v>1</v>
      </c>
      <c r="Z33" s="43"/>
      <c r="AA33" s="26">
        <f>10*LOG10(10^((60+L33-39.4)/10)+10^((63+L33-26.2)/10)+10^((66+L33-16.1)/10)+10^((69+L33-8.6)/10)+10^((72+L33-3.2)/10)+10^((75+L33)/10)+10^((78+L33+1.2)/10)+10^((81+L33+1)/10)+10^((84+L33-1.1)/10)+10^((87+L33-6.6)/10))</f>
        <v>91.684202566927439</v>
      </c>
      <c r="AB33" s="24">
        <f>IF(Z33="",0,IF(EXACT(RIGHT(Z33,5),"dB(A)"),IF(ABS(VALUE(LEFT(Z33,FIND(" ",Z33,1)))-AA33)&lt;=0.2,1,-1),-1))</f>
        <v>0</v>
      </c>
      <c r="AC33" s="12" t="s">
        <v>395</v>
      </c>
      <c r="AD33" s="26">
        <f>10*LOG10((10^((60+L33)/10)*(1+J33)+10^((65+K33)/10)*(2+I33/3))/(1+J33+2+I33/3))</f>
        <v>68.507998408927151</v>
      </c>
      <c r="AE33" s="24">
        <f>IF(AC33="",0,IF(EXACT(RIGHT(AC33,5),"dB(A)"),IF(ABS(VALUE(LEFT(AC33,FIND(" ",AC33,1)))-AD33)&lt;=0.5,1,-1),-1))</f>
        <v>1</v>
      </c>
      <c r="AF33" s="12" t="s">
        <v>396</v>
      </c>
      <c r="AG33" s="26">
        <f>90+K33+10*LOG10(4/(0.16*(300+J33*20)/(1+L33/10)))+3</f>
        <v>88.420080530223132</v>
      </c>
      <c r="AH33" s="24">
        <f>IF(AF33="",0,IF(EXACT(RIGHT(AF33,2),"dB"),IF(ABS(VALUE(LEFT(AF33,FIND(" ",AF33,1)))-AG33)&lt;=0.5,1,-1),-1))</f>
        <v>1</v>
      </c>
      <c r="AI33" s="12" t="s">
        <v>397</v>
      </c>
      <c r="AJ33" s="26">
        <f>10*LOG10(3+40*(2*SQRT(((10+K33)/2)^2+(3+L33/10)^2)-(10+K33))*100*(1+J33)/340)</f>
        <v>20.033239723740401</v>
      </c>
      <c r="AK33" s="24">
        <f>IF(AI33="",0,IF(EXACT(RIGHT(AI33,2),"dB"),IF(ABS(VALUE(LEFT(AI33,FIND(" ",AI33,1)))-AJ33)&lt;=0.5,1,-1),-1))</f>
        <v>1</v>
      </c>
      <c r="AL33" s="12" t="s">
        <v>398</v>
      </c>
      <c r="AM33" s="26">
        <f>80+L33-(80+K33)</f>
        <v>-2</v>
      </c>
      <c r="AN33" s="24">
        <f>IF(AL33="",0,IF(EXACT(RIGHT(AL33,2),"dB"),IF(ABS(VALUE(LEFT(AL33,FIND(" ",AL33,1)))-AM33)&lt;=0.5,1,-1),-1))</f>
        <v>1</v>
      </c>
      <c r="AO33" s="12" t="s">
        <v>399</v>
      </c>
      <c r="AP33" s="30">
        <f>((2^(5+L33))/2+1)/48</f>
        <v>5.354166666666667</v>
      </c>
      <c r="AQ33" s="24">
        <f>IF(AO33="",0,IF(EXACT(RIGHT(AO33,2),"ms"),IF(ABS(VALUE(LEFT(AO33,FIND(" ",AO33,1)))-AP33)/AP33&lt;=0.02,1,-1),-1))</f>
        <v>1</v>
      </c>
      <c r="AR33" s="39">
        <f>M33+P33+S33+V33+Y33+AB33+AE33+AH33+AK33+AN33+AQ33</f>
        <v>11</v>
      </c>
    </row>
    <row r="34" spans="1:44" ht="13.2">
      <c r="A34" s="41">
        <v>32</v>
      </c>
      <c r="B34" s="42">
        <v>41992.765766747689</v>
      </c>
      <c r="C34" s="12" t="s">
        <v>898</v>
      </c>
      <c r="D34" s="12" t="s">
        <v>899</v>
      </c>
      <c r="E34" s="12">
        <v>239511</v>
      </c>
      <c r="F34" s="23">
        <v>1</v>
      </c>
      <c r="G34" s="23">
        <f>INT(E34/100000)</f>
        <v>2</v>
      </c>
      <c r="H34" s="23">
        <f>INT(($E34-100000*G34)/10000)</f>
        <v>3</v>
      </c>
      <c r="I34" s="23">
        <f>INT(($E34-100000*G34-10000*H34)/1000)</f>
        <v>9</v>
      </c>
      <c r="J34" s="23">
        <f>INT(($E34-100000*$G34-10000*$H34-1000*$I34)/100)</f>
        <v>5</v>
      </c>
      <c r="K34" s="23">
        <f>INT(($E34-100000*$G34-10000*$H34-1000*$I34-100*$J34)/10)</f>
        <v>1</v>
      </c>
      <c r="L34" s="23">
        <f>INT(($E34-100000*$G34-10000*$H34-1000*$I34-100*$J34-10*$K34))</f>
        <v>1</v>
      </c>
      <c r="M34" s="24">
        <v>2</v>
      </c>
      <c r="N34" s="12" t="s">
        <v>900</v>
      </c>
      <c r="O34" s="26">
        <f>65+K34+10*LOG10(70+L34)+10*LOG10(100/(100+J34*20))</f>
        <v>81.50228353055094</v>
      </c>
      <c r="P34" s="24">
        <f>IF(N34="",0,IF(EXACT(RIGHT(N34,5),"dB(A)"),IF(ABS(VALUE(LEFT(N34,FIND(" ",N34,1)))-O34)&lt;=0.5,1,-1),-1))</f>
        <v>1</v>
      </c>
      <c r="Q34" s="12" t="s">
        <v>901</v>
      </c>
      <c r="R34" s="26">
        <f>10*LOG10(10^((80+G34)/10)*(10+L34)*1000/16/3600+10^((85+H34)/10)*(10+K34)*3000/16/3600+10^((90+J34)/10)*(10+J34)*100/16/3600)</f>
        <v>86.7587363488596</v>
      </c>
      <c r="S34" s="24">
        <f>IF(Q34="",0,IF(EXACT(RIGHT(Q34,5),"dB(A)"),IF(ABS(VALUE(LEFT(Q34,FIND(" ",Q34,1)))-R34)&lt;=0.5,1,-1),-1))</f>
        <v>1</v>
      </c>
      <c r="T34" s="12" t="s">
        <v>902</v>
      </c>
      <c r="U34" s="30">
        <f>4*(500+K34*10+L34)/(400+J34*10)/340*SQRT(8192/4/0.1)</f>
        <v>1.9118527355857027</v>
      </c>
      <c r="V34" s="24">
        <f>IF(T34="",0,IF(EXACT(RIGHT(T34,2)," s"),IF(ABS(VALUE(LEFT(T34,FIND(" ",T34,1)))-U34)&lt;=0.005,1,-1),-1))</f>
        <v>1</v>
      </c>
      <c r="W34" s="12">
        <v>512</v>
      </c>
      <c r="X34" s="36">
        <f>8*2^(5+L34)</f>
        <v>512</v>
      </c>
      <c r="Y34" s="24">
        <f>IF(W34="",0,IF(ABS(W34-X34)&lt;=1,1,-1))</f>
        <v>1</v>
      </c>
      <c r="Z34" s="43"/>
      <c r="AA34" s="26">
        <f>10*LOG10(10^((60+L34-39.4)/10)+10^((63+L34-26.2)/10)+10^((66+L34-16.1)/10)+10^((69+L34-8.6)/10)+10^((72+L34-3.2)/10)+10^((75+L34)/10)+10^((78+L34+1.2)/10)+10^((81+L34+1)/10)+10^((84+L34-1.1)/10)+10^((87+L34-6.6)/10))</f>
        <v>88.684202566927453</v>
      </c>
      <c r="AB34" s="24">
        <f>IF(Z34="",0,IF(EXACT(RIGHT(Z34,5),"dB(A)"),IF(ABS(VALUE(LEFT(Z34,FIND(" ",Z34,1)))-AA34)&lt;=0.2,1,-1),-1))</f>
        <v>0</v>
      </c>
      <c r="AC34" s="12" t="s">
        <v>903</v>
      </c>
      <c r="AD34" s="26">
        <f>10*LOG10((10^((60+L34)/10)*(1+J34)+10^((65+K34)/10)*(2+I34/3))/(1+J34+2+I34/3))</f>
        <v>63.972906242630287</v>
      </c>
      <c r="AE34" s="24">
        <f>IF(AC34="",0,IF(EXACT(RIGHT(AC34,5),"dB(A)"),IF(ABS(VALUE(LEFT(AC34,FIND(" ",AC34,1)))-AD34)&lt;=0.5,1,-1),-1))</f>
        <v>1</v>
      </c>
      <c r="AF34" s="12" t="s">
        <v>904</v>
      </c>
      <c r="AG34" s="26">
        <f>90+K34+10*LOG10(4/(0.16*(300+J34*20)/(1+L34/10)))+3</f>
        <v>82.372727025023011</v>
      </c>
      <c r="AH34" s="24">
        <f>IF(AF34="",0,IF(EXACT(RIGHT(AF34,2),"dB"),IF(ABS(VALUE(LEFT(AF34,FIND(" ",AF34,1)))-AG34)&lt;=0.5,1,-1),-1))</f>
        <v>1</v>
      </c>
      <c r="AI34" s="12" t="s">
        <v>905</v>
      </c>
      <c r="AJ34" s="26">
        <f>10*LOG10(3+40*(2*SQRT(((10+K34)/2)^2+(3+L34/10)^2)-(10+K34))*100*(1+J34)/340)</f>
        <v>20.713071183670898</v>
      </c>
      <c r="AK34" s="24">
        <f>IF(AI34="",0,IF(EXACT(RIGHT(AI34,2),"dB"),IF(ABS(VALUE(LEFT(AI34,FIND(" ",AI34,1)))-AJ34)&lt;=0.5,1,-1),-1))</f>
        <v>1</v>
      </c>
      <c r="AL34" s="12" t="s">
        <v>906</v>
      </c>
      <c r="AM34" s="26">
        <f>80+L34-(80+K34)</f>
        <v>0</v>
      </c>
      <c r="AN34" s="24">
        <f>IF(AL34="",0,IF(EXACT(RIGHT(AL34,2),"dB"),IF(ABS(VALUE(LEFT(AL34,FIND(" ",AL34,1)))-AM34)&lt;=0.5,1,-1),-1))</f>
        <v>1</v>
      </c>
      <c r="AO34" s="12" t="s">
        <v>907</v>
      </c>
      <c r="AP34" s="30">
        <f>((2^(5+L34))/2+1)/48</f>
        <v>0.6875</v>
      </c>
      <c r="AQ34" s="24">
        <f>IF(AO34="",0,IF(EXACT(RIGHT(AO34,2),"ms"),IF(ABS(VALUE(LEFT(AO34,FIND(" ",AO34,1)))-AP34)/AP34&lt;=0.02,1,-1),-1))</f>
        <v>1</v>
      </c>
      <c r="AR34" s="39">
        <f>M34+P34+S34+V34+Y34+AB34+AE34+AH34+AK34+AN34+AQ34</f>
        <v>11</v>
      </c>
    </row>
    <row r="35" spans="1:44" ht="13.2">
      <c r="A35" s="41">
        <v>33</v>
      </c>
      <c r="B35" s="42">
        <v>41992.766959166664</v>
      </c>
      <c r="C35" s="12" t="s">
        <v>1078</v>
      </c>
      <c r="D35" s="12" t="s">
        <v>1079</v>
      </c>
      <c r="E35" s="12">
        <v>239568</v>
      </c>
      <c r="F35" s="23">
        <v>1</v>
      </c>
      <c r="G35" s="23">
        <f>INT(E35/100000)</f>
        <v>2</v>
      </c>
      <c r="H35" s="23">
        <f>INT(($E35-100000*G35)/10000)</f>
        <v>3</v>
      </c>
      <c r="I35" s="23">
        <f>INT(($E35-100000*G35-10000*H35)/1000)</f>
        <v>9</v>
      </c>
      <c r="J35" s="23">
        <f>INT(($E35-100000*$G35-10000*$H35-1000*$I35)/100)</f>
        <v>5</v>
      </c>
      <c r="K35" s="23">
        <f>INT(($E35-100000*$G35-10000*$H35-1000*$I35-100*$J35)/10)</f>
        <v>6</v>
      </c>
      <c r="L35" s="23">
        <f>INT(($E35-100000*$G35-10000*$H35-1000*$I35-100*$J35-10*$K35))</f>
        <v>8</v>
      </c>
      <c r="M35" s="24">
        <v>2</v>
      </c>
      <c r="N35" s="12" t="s">
        <v>1080</v>
      </c>
      <c r="O35" s="26">
        <f>65+K35+10*LOG10(70+L35)+10*LOG10(100/(100+J35*20))</f>
        <v>86.910646070264988</v>
      </c>
      <c r="P35" s="24">
        <f>IF(N35="",0,IF(EXACT(RIGHT(N35,5),"dB(A)"),IF(ABS(VALUE(LEFT(N35,FIND(" ",N35,1)))-O35)&lt;=0.5,1,-1),-1))</f>
        <v>1</v>
      </c>
      <c r="Q35" s="12" t="s">
        <v>1081</v>
      </c>
      <c r="R35" s="26">
        <f>10*LOG10(10^((80+G35)/10)*(10+L35)*1000/16/3600+10^((85+H35)/10)*(10+K35)*3000/16/3600+10^((90+J35)/10)*(10+J35)*100/16/3600)</f>
        <v>88.180124428950904</v>
      </c>
      <c r="S35" s="24">
        <f>IF(Q35="",0,IF(EXACT(RIGHT(Q35,5),"dB(A)"),IF(ABS(VALUE(LEFT(Q35,FIND(" ",Q35,1)))-R35)&lt;=0.5,1,-1),-1))</f>
        <v>1</v>
      </c>
      <c r="T35" s="12" t="s">
        <v>1082</v>
      </c>
      <c r="U35" s="30">
        <f>4*(500+K35*10+L35)/(400+J35*10)/340*SQRT(8192/4/0.1)</f>
        <v>2.1251122383809764</v>
      </c>
      <c r="V35" s="24">
        <f>IF(T35="",0,IF(EXACT(RIGHT(T35,2)," s"),IF(ABS(VALUE(LEFT(T35,FIND(" ",T35,1)))-U35)&lt;=0.005,1,-1),-1))</f>
        <v>1</v>
      </c>
      <c r="W35" s="12">
        <v>65536</v>
      </c>
      <c r="X35" s="36">
        <f>8*2^(5+L35)</f>
        <v>65536</v>
      </c>
      <c r="Y35" s="24">
        <f>IF(W35="",0,IF(ABS(W35-X35)&lt;=1,1,-1))</f>
        <v>1</v>
      </c>
      <c r="Z35" s="43"/>
      <c r="AA35" s="26">
        <f>10*LOG10(10^((60+L35-39.4)/10)+10^((63+L35-26.2)/10)+10^((66+L35-16.1)/10)+10^((69+L35-8.6)/10)+10^((72+L35-3.2)/10)+10^((75+L35)/10)+10^((78+L35+1.2)/10)+10^((81+L35+1)/10)+10^((84+L35-1.1)/10)+10^((87+L35-6.6)/10))</f>
        <v>95.684202566927453</v>
      </c>
      <c r="AB35" s="24">
        <f>IF(Z35="",0,IF(EXACT(RIGHT(Z35,5),"dB(A)"),IF(ABS(VALUE(LEFT(Z35,FIND(" ",Z35,1)))-AA35)&lt;=0.2,1,-1),-1))</f>
        <v>0</v>
      </c>
      <c r="AC35" s="12" t="s">
        <v>1083</v>
      </c>
      <c r="AD35" s="26">
        <f>10*LOG10((10^((60+L35)/10)*(1+J35)+10^((65+K35)/10)*(2+I35/3))/(1+J35+2+I35/3))</f>
        <v>69.62083836528916</v>
      </c>
      <c r="AE35" s="24">
        <f>IF(AC35="",0,IF(EXACT(RIGHT(AC35,5),"dB(A)"),IF(ABS(VALUE(LEFT(AC35,FIND(" ",AC35,1)))-AD35)&lt;=0.5,1,-1),-1))</f>
        <v>1</v>
      </c>
      <c r="AF35" s="12" t="s">
        <v>1084</v>
      </c>
      <c r="AG35" s="26">
        <f>90+K35+10*LOG10(4/(0.16*(300+J35*20)/(1+L35/10)))+3</f>
        <v>89.511525224473814</v>
      </c>
      <c r="AH35" s="24">
        <f>IF(AF35="",0,IF(EXACT(RIGHT(AF35,2),"dB"),IF(ABS(VALUE(LEFT(AF35,FIND(" ",AF35,1)))-AG35)&lt;=0.5,1,-1),-1))</f>
        <v>1</v>
      </c>
      <c r="AI35" s="12" t="s">
        <v>1085</v>
      </c>
      <c r="AJ35" s="26">
        <f>10*LOG10(3+40*(2*SQRT(((10+K35)/2)^2+(3+L35/10)^2)-(10+K35))*100*(1+J35)/340)</f>
        <v>20.932004090119051</v>
      </c>
      <c r="AK35" s="24">
        <f>IF(AI35="",0,IF(EXACT(RIGHT(AI35,2),"dB"),IF(ABS(VALUE(LEFT(AI35,FIND(" ",AI35,1)))-AJ35)&lt;=0.5,1,-1),-1))</f>
        <v>1</v>
      </c>
      <c r="AL35" s="12" t="s">
        <v>1086</v>
      </c>
      <c r="AM35" s="26">
        <f>80+L35-(80+K35)</f>
        <v>2</v>
      </c>
      <c r="AN35" s="24">
        <f>IF(AL35="",0,IF(EXACT(RIGHT(AL35,2),"dB"),IF(ABS(VALUE(LEFT(AL35,FIND(" ",AL35,1)))-AM35)&lt;=0.5,1,-1),-1))</f>
        <v>1</v>
      </c>
      <c r="AO35" s="12" t="s">
        <v>1087</v>
      </c>
      <c r="AP35" s="30">
        <f>((2^(5+L35))/2+1)/48</f>
        <v>85.354166666666671</v>
      </c>
      <c r="AQ35" s="24">
        <f>IF(AO35="",0,IF(EXACT(RIGHT(AO35,2),"ms"),IF(ABS(VALUE(LEFT(AO35,FIND(" ",AO35,1)))-AP35)/AP35&lt;=0.02,1,-1),-1))</f>
        <v>1</v>
      </c>
      <c r="AR35" s="39">
        <f>M35+P35+S35+V35+Y35+AB35+AE35+AH35+AK35+AN35+AQ35</f>
        <v>11</v>
      </c>
    </row>
    <row r="36" spans="1:44" ht="13.2">
      <c r="A36" s="41">
        <v>34</v>
      </c>
      <c r="B36" s="42">
        <v>41992.76699225694</v>
      </c>
      <c r="C36" s="12" t="s">
        <v>1099</v>
      </c>
      <c r="D36" s="12" t="s">
        <v>1100</v>
      </c>
      <c r="E36" s="12">
        <v>242691</v>
      </c>
      <c r="F36" s="23">
        <v>1</v>
      </c>
      <c r="G36" s="23">
        <f>INT(E36/100000)</f>
        <v>2</v>
      </c>
      <c r="H36" s="23">
        <f>INT(($E36-100000*G36)/10000)</f>
        <v>4</v>
      </c>
      <c r="I36" s="23">
        <f>INT(($E36-100000*G36-10000*H36)/1000)</f>
        <v>2</v>
      </c>
      <c r="J36" s="23">
        <f>INT(($E36-100000*$G36-10000*$H36-1000*$I36)/100)</f>
        <v>6</v>
      </c>
      <c r="K36" s="23">
        <f>INT(($E36-100000*$G36-10000*$H36-1000*$I36-100*$J36)/10)</f>
        <v>9</v>
      </c>
      <c r="L36" s="23">
        <f>INT(($E36-100000*$G36-10000*$H36-1000*$I36-100*$J36-10*$K36))</f>
        <v>1</v>
      </c>
      <c r="M36" s="24">
        <v>2</v>
      </c>
      <c r="N36" s="12" t="s">
        <v>1101</v>
      </c>
      <c r="O36" s="26">
        <f>65+K36+10*LOG10(70+L36)+10*LOG10(100/(100+J36*20))</f>
        <v>89.088356678968694</v>
      </c>
      <c r="P36" s="24">
        <f>IF(N36="",0,IF(EXACT(RIGHT(N36,5),"dB(A)"),IF(ABS(VALUE(LEFT(N36,FIND(" ",N36,1)))-O36)&lt;=0.5,1,-1),-1))</f>
        <v>1</v>
      </c>
      <c r="Q36" s="12" t="s">
        <v>1102</v>
      </c>
      <c r="R36" s="26">
        <f>10*LOG10(10^((80+G36)/10)*(10+L36)*1000/16/3600+10^((85+H36)/10)*(10+K36)*3000/16/3600+10^((90+J36)/10)*(10+J36)*100/16/3600)</f>
        <v>89.670358644044427</v>
      </c>
      <c r="S36" s="24">
        <f>IF(Q36="",0,IF(EXACT(RIGHT(Q36,5),"dB(A)"),IF(ABS(VALUE(LEFT(Q36,FIND(" ",Q36,1)))-R36)&lt;=0.5,1,-1),-1))</f>
        <v>1</v>
      </c>
      <c r="T36" s="12" t="s">
        <v>1103</v>
      </c>
      <c r="U36" s="30">
        <f>4*(500+K36*10+L36)/(400+J36*10)/340*SQRT(8192/4/0.1)</f>
        <v>2.1630955289246048</v>
      </c>
      <c r="V36" s="24">
        <f>IF(T36="",0,IF(EXACT(RIGHT(T36,2)," s"),IF(ABS(VALUE(LEFT(T36,FIND(" ",T36,1)))-U36)&lt;=0.005,1,-1),-1))</f>
        <v>1</v>
      </c>
      <c r="W36" s="12">
        <v>512</v>
      </c>
      <c r="X36" s="36">
        <f>8*2^(5+L36)</f>
        <v>512</v>
      </c>
      <c r="Y36" s="24">
        <f>IF(W36="",0,IF(ABS(W36-X36)&lt;=1,1,-1))</f>
        <v>1</v>
      </c>
      <c r="Z36" s="43"/>
      <c r="AA36" s="26">
        <f>10*LOG10(10^((60+L36-39.4)/10)+10^((63+L36-26.2)/10)+10^((66+L36-16.1)/10)+10^((69+L36-8.6)/10)+10^((72+L36-3.2)/10)+10^((75+L36)/10)+10^((78+L36+1.2)/10)+10^((81+L36+1)/10)+10^((84+L36-1.1)/10)+10^((87+L36-6.6)/10))</f>
        <v>88.684202566927453</v>
      </c>
      <c r="AB36" s="24">
        <f>IF(Z36="",0,IF(EXACT(RIGHT(Z36,5),"dB(A)"),IF(ABS(VALUE(LEFT(Z36,FIND(" ",Z36,1)))-AA36)&lt;=0.2,1,-1),-1))</f>
        <v>0</v>
      </c>
      <c r="AC36" s="12" t="s">
        <v>1104</v>
      </c>
      <c r="AD36" s="26">
        <f>10*LOG10((10^((60+L36)/10)*(1+J36)+10^((65+K36)/10)*(2+I36/3))/(1+J36+2+I36/3))</f>
        <v>68.943702089092383</v>
      </c>
      <c r="AE36" s="24">
        <f>IF(AC36="",0,IF(EXACT(RIGHT(AC36,5),"dB(A)"),IF(ABS(VALUE(LEFT(AC36,FIND(" ",AC36,1)))-AD36)&lt;=0.5,1,-1),-1))</f>
        <v>1</v>
      </c>
      <c r="AF36" s="12" t="s">
        <v>1105</v>
      </c>
      <c r="AG36" s="26">
        <f>90+K36+10*LOG10(4/(0.16*(300+J36*20)/(1+L36/10)))+3</f>
        <v>90.160834034323628</v>
      </c>
      <c r="AH36" s="24">
        <f>IF(AF36="",0,IF(EXACT(RIGHT(AF36,2),"dB"),IF(ABS(VALUE(LEFT(AF36,FIND(" ",AF36,1)))-AG36)&lt;=0.5,1,-1),-1))</f>
        <v>1</v>
      </c>
      <c r="AI36" s="12" t="s">
        <v>1106</v>
      </c>
      <c r="AJ36" s="26">
        <f>10*LOG10(3+40*(2*SQRT(((10+K36)/2)^2+(3+L36/10)^2)-(10+K36))*100*(1+J36)/340)</f>
        <v>19.253100086754188</v>
      </c>
      <c r="AK36" s="24">
        <f>IF(AI36="",0,IF(EXACT(RIGHT(AI36,2),"dB"),IF(ABS(VALUE(LEFT(AI36,FIND(" ",AI36,1)))-AJ36)&lt;=0.5,1,-1),-1))</f>
        <v>1</v>
      </c>
      <c r="AL36" s="12" t="s">
        <v>1107</v>
      </c>
      <c r="AM36" s="26">
        <f>80+L36-(80+K36)</f>
        <v>-8</v>
      </c>
      <c r="AN36" s="24">
        <f>IF(AL36="",0,IF(EXACT(RIGHT(AL36,2),"dB"),IF(ABS(VALUE(LEFT(AL36,FIND(" ",AL36,1)))-AM36)&lt;=0.5,1,-1),-1))</f>
        <v>1</v>
      </c>
      <c r="AO36" s="12" t="s">
        <v>1108</v>
      </c>
      <c r="AP36" s="30">
        <f>((2^(5+L36))/2+1)/48</f>
        <v>0.6875</v>
      </c>
      <c r="AQ36" s="24">
        <f>IF(AO36="",0,IF(EXACT(RIGHT(AO36,2),"ms"),IF(ABS(VALUE(LEFT(AO36,FIND(" ",AO36,1)))-AP36)/AP36&lt;=0.02,1,-1),-1))</f>
        <v>1</v>
      </c>
      <c r="AR36" s="39">
        <f>M36+P36+S36+V36+Y36+AB36+AE36+AH36+AK36+AN36+AQ36</f>
        <v>11</v>
      </c>
    </row>
    <row r="37" spans="1:44" ht="13.2">
      <c r="A37" s="41">
        <v>35</v>
      </c>
      <c r="B37" s="42">
        <v>41992.771373645839</v>
      </c>
      <c r="C37" s="12" t="s">
        <v>1453</v>
      </c>
      <c r="D37" s="12" t="s">
        <v>1454</v>
      </c>
      <c r="E37" s="12">
        <v>224023</v>
      </c>
      <c r="F37" s="23">
        <v>1</v>
      </c>
      <c r="G37" s="23">
        <f>INT(E37/100000)</f>
        <v>2</v>
      </c>
      <c r="H37" s="23">
        <f>INT(($E37-100000*G37)/10000)</f>
        <v>2</v>
      </c>
      <c r="I37" s="23">
        <f>INT(($E37-100000*G37-10000*H37)/1000)</f>
        <v>4</v>
      </c>
      <c r="J37" s="23">
        <f>INT(($E37-100000*$G37-10000*$H37-1000*$I37)/100)</f>
        <v>0</v>
      </c>
      <c r="K37" s="23">
        <f>INT(($E37-100000*$G37-10000*$H37-1000*$I37-100*$J37)/10)</f>
        <v>2</v>
      </c>
      <c r="L37" s="23">
        <f>INT(($E37-100000*$G37-10000*$H37-1000*$I37-100*$J37-10*$K37))</f>
        <v>3</v>
      </c>
      <c r="M37" s="24">
        <v>2</v>
      </c>
      <c r="N37" s="45" t="s">
        <v>1455</v>
      </c>
      <c r="O37" s="26">
        <f>65+K37+10*LOG10(70+L37)+10*LOG10(100/(100+J37*20))</f>
        <v>85.633228601204564</v>
      </c>
      <c r="P37" s="24">
        <f>IF(N37="",0,IF(EXACT(RIGHT(N37,5),"dB(A)"),IF(ABS(VALUE(LEFT(N37,FIND(" ",N37,1)))-O37)&lt;=0.5,1,-1),-1))</f>
        <v>1</v>
      </c>
      <c r="Q37" s="12" t="s">
        <v>1456</v>
      </c>
      <c r="R37" s="26">
        <f>10*LOG10(10^((80+G37)/10)*(10+L37)*1000/16/3600+10^((85+H37)/10)*(10+K37)*3000/16/3600+10^((90+J37)/10)*(10+J37)*100/16/3600)</f>
        <v>85.639238056063718</v>
      </c>
      <c r="S37" s="24">
        <f>IF(Q37="",0,IF(EXACT(RIGHT(Q37,5),"dB(A)"),IF(ABS(VALUE(LEFT(Q37,FIND(" ",Q37,1)))-R37)&lt;=0.5,1,-1),-1))</f>
        <v>1</v>
      </c>
      <c r="T37" s="12" t="s">
        <v>1457</v>
      </c>
      <c r="U37" s="30">
        <f>4*(500+K37*10+L37)/(400+J37*10)/340*SQRT(8192/4/0.1)</f>
        <v>2.2013431571433228</v>
      </c>
      <c r="V37" s="24">
        <f>IF(T37="",0,IF(EXACT(RIGHT(T37,2)," s"),IF(ABS(VALUE(LEFT(T37,FIND(" ",T37,1)))-U37)&lt;=0.005,1,-1),-1))</f>
        <v>1</v>
      </c>
      <c r="W37" s="12">
        <v>2048</v>
      </c>
      <c r="X37" s="36">
        <f>8*2^(5+L37)</f>
        <v>2048</v>
      </c>
      <c r="Y37" s="24">
        <f>IF(W37="",0,IF(ABS(W37-X37)&lt;=1,1,-1))</f>
        <v>1</v>
      </c>
      <c r="Z37" s="43"/>
      <c r="AA37" s="26">
        <f>10*LOG10(10^((60+L37-39.4)/10)+10^((63+L37-26.2)/10)+10^((66+L37-16.1)/10)+10^((69+L37-8.6)/10)+10^((72+L37-3.2)/10)+10^((75+L37)/10)+10^((78+L37+1.2)/10)+10^((81+L37+1)/10)+10^((84+L37-1.1)/10)+10^((87+L37-6.6)/10))</f>
        <v>90.684202566927453</v>
      </c>
      <c r="AB37" s="24">
        <f>IF(Z37="",0,IF(EXACT(RIGHT(Z37,5),"dB(A)"),IF(ABS(VALUE(LEFT(Z37,FIND(" ",Z37,1)))-AA37)&lt;=0.2,1,-1),-1))</f>
        <v>0</v>
      </c>
      <c r="AC37" s="45" t="s">
        <v>1458</v>
      </c>
      <c r="AD37" s="26">
        <f>10*LOG10((10^((60+L37)/10)*(1+J37)+10^((65+K37)/10)*(2+I37/3))/(1+J37+2+I37/3))</f>
        <v>66.350544237974503</v>
      </c>
      <c r="AE37" s="24">
        <f>IF(AC37="",0,IF(EXACT(RIGHT(AC37,5),"dB(A)"),IF(ABS(VALUE(LEFT(AC37,FIND(" ",AC37,1)))-AD37)&lt;=0.5,1,-1),-1))</f>
        <v>1</v>
      </c>
      <c r="AF37" s="45" t="s">
        <v>1459</v>
      </c>
      <c r="AG37" s="26">
        <f>90+K37+10*LOG10(4/(0.16*(300+J37*20)/(1+L37/10)))+3</f>
        <v>85.347621062592125</v>
      </c>
      <c r="AH37" s="24">
        <f>IF(AF37="",0,IF(EXACT(RIGHT(AF37,2),"dB"),IF(ABS(VALUE(LEFT(AF37,FIND(" ",AF37,1)))-AG37)&lt;=0.5,1,-1),-1))</f>
        <v>1</v>
      </c>
      <c r="AI37" s="12" t="s">
        <v>1460</v>
      </c>
      <c r="AJ37" s="26">
        <f>10*LOG10(3+40*(2*SQRT(((10+K37)/2)^2+(3+L37/10)^2)-(10+K37))*100*(1+J37)/340)</f>
        <v>13.606723969329673</v>
      </c>
      <c r="AK37" s="24">
        <f>IF(AI37="",0,IF(EXACT(RIGHT(AI37,2),"dB"),IF(ABS(VALUE(LEFT(AI37,FIND(" ",AI37,1)))-AJ37)&lt;=0.5,1,-1),-1))</f>
        <v>1</v>
      </c>
      <c r="AL37" s="12" t="s">
        <v>1461</v>
      </c>
      <c r="AM37" s="26">
        <f>80+L37-(80+K37)</f>
        <v>1</v>
      </c>
      <c r="AN37" s="24">
        <f>IF(AL37="",0,IF(EXACT(RIGHT(AL37,2),"dB"),IF(ABS(VALUE(LEFT(AL37,FIND(" ",AL37,1)))-AM37)&lt;=0.5,1,-1),-1))</f>
        <v>1</v>
      </c>
      <c r="AO37" s="12" t="s">
        <v>1462</v>
      </c>
      <c r="AP37" s="30">
        <f>((2^(5+L37))/2+1)/48</f>
        <v>2.6875</v>
      </c>
      <c r="AQ37" s="24">
        <f>IF(AO37="",0,IF(EXACT(RIGHT(AO37,2),"ms"),IF(ABS(VALUE(LEFT(AO37,FIND(" ",AO37,1)))-AP37)/AP37&lt;=0.02,1,-1),-1))</f>
        <v>1</v>
      </c>
      <c r="AR37" s="39">
        <f>M37+P37+S37+V37+Y37+AB37+AE37+AH37+AK37+AN37+AQ37</f>
        <v>11</v>
      </c>
    </row>
    <row r="38" spans="1:44" ht="13.2">
      <c r="A38" s="41">
        <v>36</v>
      </c>
      <c r="B38" s="42">
        <v>41992.75928096065</v>
      </c>
      <c r="C38" s="12" t="s">
        <v>175</v>
      </c>
      <c r="D38" s="12" t="s">
        <v>176</v>
      </c>
      <c r="E38" s="12">
        <v>250593</v>
      </c>
      <c r="F38" s="23">
        <v>1</v>
      </c>
      <c r="G38" s="23">
        <f>INT(E38/100000)</f>
        <v>2</v>
      </c>
      <c r="H38" s="23">
        <f>INT(($E38-100000*G38)/10000)</f>
        <v>5</v>
      </c>
      <c r="I38" s="23">
        <f>INT(($E38-100000*G38-10000*H38)/1000)</f>
        <v>0</v>
      </c>
      <c r="J38" s="23">
        <f>INT(($E38-100000*$G38-10000*$H38-1000*$I38)/100)</f>
        <v>5</v>
      </c>
      <c r="K38" s="23">
        <f>INT(($E38-100000*$G38-10000*$H38-1000*$I38-100*$J38)/10)</f>
        <v>9</v>
      </c>
      <c r="L38" s="23">
        <f>INT(($E38-100000*$G38-10000*$H38-1000*$I38-100*$J38-10*$K38))</f>
        <v>3</v>
      </c>
      <c r="M38" s="24">
        <v>2</v>
      </c>
      <c r="N38" s="12" t="s">
        <v>177</v>
      </c>
      <c r="O38" s="26">
        <f>65+K38+10*LOG10(70+L38)+10*LOG10(100/(100+J38*20))</f>
        <v>89.622928644564752</v>
      </c>
      <c r="P38" s="24">
        <f>IF(N38="",0,IF(EXACT(RIGHT(N38,5),"dB(A)"),IF(ABS(VALUE(LEFT(N38,FIND(" ",N38,1)))-O38)&lt;=0.5,1,-1),-1))</f>
        <v>1</v>
      </c>
      <c r="Q38" s="12" t="s">
        <v>178</v>
      </c>
      <c r="R38" s="26">
        <f>10*LOG10(10^((80+G38)/10)*(10+L38)*1000/16/3600+10^((85+H38)/10)*(10+K38)*3000/16/3600+10^((90+J38)/10)*(10+J38)*100/16/3600)</f>
        <v>90.444239094019338</v>
      </c>
      <c r="S38" s="24">
        <f>IF(Q38="",0,IF(EXACT(RIGHT(Q38,5),"dB(A)"),IF(ABS(VALUE(LEFT(Q38,FIND(" ",Q38,1)))-R38)&lt;=0.5,1,-1),-1))</f>
        <v>1</v>
      </c>
      <c r="T38" s="12" t="s">
        <v>179</v>
      </c>
      <c r="U38" s="30">
        <f>4*(500+K38*10+L38)/(400+J38*10)/340*SQRT(8192/4/0.1)</f>
        <v>2.2186471080280268</v>
      </c>
      <c r="V38" s="24">
        <f>IF(T38="",0,IF(EXACT(RIGHT(T38,2)," s"),IF(ABS(VALUE(LEFT(T38,FIND(" ",T38,1)))-U38)&lt;=0.005,1,-1),-1))</f>
        <v>1</v>
      </c>
      <c r="W38" s="12">
        <v>2048</v>
      </c>
      <c r="X38" s="36">
        <f>8*2^(5+L38)</f>
        <v>2048</v>
      </c>
      <c r="Y38" s="24">
        <f>IF(W38="",0,IF(ABS(W38-X38)&lt;=1,1,-1))</f>
        <v>1</v>
      </c>
      <c r="Z38" s="12" t="s">
        <v>180</v>
      </c>
      <c r="AA38" s="26">
        <f>10*LOG10(10^((60+L38-39.4)/10)+10^((63+L38-26.2)/10)+10^((66+L38-16.1)/10)+10^((69+L38-8.6)/10)+10^((72+L38-3.2)/10)+10^((75+L38)/10)+10^((78+L38+1.2)/10)+10^((81+L38+1)/10)+10^((84+L38-1.1)/10)+10^((87+L38-6.6)/10))</f>
        <v>90.684202566927453</v>
      </c>
      <c r="AB38" s="24">
        <f>IF(Z38="",0,IF(EXACT(RIGHT(Z38,5),"dB(A)"),IF(ABS(VALUE(LEFT(Z38,FIND(" ",Z38,1)))-AA38)&lt;=0.2,1,-1),-1))</f>
        <v>-1</v>
      </c>
      <c r="AC38" s="12" t="s">
        <v>181</v>
      </c>
      <c r="AD38" s="26">
        <f>10*LOG10((10^((60+L38)/10)*(1+J38)+10^((65+K38)/10)*(2+I38/3))/(1+J38+2+I38/3))</f>
        <v>68.907653451430249</v>
      </c>
      <c r="AE38" s="24">
        <f>IF(AC38="",0,IF(EXACT(RIGHT(AC38,5),"dB(A)"),IF(ABS(VALUE(LEFT(AC38,FIND(" ",AC38,1)))-AD38)&lt;=0.5,1,-1),-1))</f>
        <v>1</v>
      </c>
      <c r="AF38" s="12" t="s">
        <v>182</v>
      </c>
      <c r="AG38" s="26">
        <f>90+K38+10*LOG10(4/(0.16*(300+J38*20)/(1+L38/10)))+3</f>
        <v>91.098233696509112</v>
      </c>
      <c r="AH38" s="24">
        <f>IF(AF38="",0,IF(EXACT(RIGHT(AF38,2),"dB"),IF(ABS(VALUE(LEFT(AF38,FIND(" ",AF38,1)))-AG38)&lt;=0.5,1,-1),-1))</f>
        <v>1</v>
      </c>
      <c r="AI38" s="12" t="s">
        <v>183</v>
      </c>
      <c r="AJ38" s="26">
        <f>10*LOG10(3+40*(2*SQRT(((10+K38)/2)^2+(3+L38/10)^2)-(10+K38))*100*(1+J38)/340)</f>
        <v>19.117566273363014</v>
      </c>
      <c r="AK38" s="24">
        <f>IF(AI38="",0,IF(EXACT(RIGHT(AI38,2),"dB"),IF(ABS(VALUE(LEFT(AI38,FIND(" ",AI38,1)))-AJ38)&lt;=0.5,1,-1),-1))</f>
        <v>1</v>
      </c>
      <c r="AL38" s="12" t="s">
        <v>184</v>
      </c>
      <c r="AM38" s="26">
        <f>80+L38-(80+K38)</f>
        <v>-6</v>
      </c>
      <c r="AN38" s="24">
        <f>IF(AL38="",0,IF(EXACT(RIGHT(AL38,2),"dB"),IF(ABS(VALUE(LEFT(AL38,FIND(" ",AL38,1)))-AM38)&lt;=0.5,1,-1),-1))</f>
        <v>1</v>
      </c>
      <c r="AO38" s="12" t="s">
        <v>185</v>
      </c>
      <c r="AP38" s="30">
        <f>((2^(5+L38))/2+1)/48</f>
        <v>2.6875</v>
      </c>
      <c r="AQ38" s="24">
        <f>IF(AO38="",0,IF(EXACT(RIGHT(AO38,2),"ms"),IF(ABS(VALUE(LEFT(AO38,FIND(" ",AO38,1)))-AP38)/AP38&lt;=0.02,1,-1),-1))</f>
        <v>1</v>
      </c>
      <c r="AR38" s="39">
        <f>M38+P38+S38+V38+Y38+AB38+AE38+AH38+AK38+AN38+AQ38</f>
        <v>10</v>
      </c>
    </row>
    <row r="39" spans="1:44" ht="13.2">
      <c r="A39" s="41">
        <v>37</v>
      </c>
      <c r="B39" s="42">
        <v>41992.766640601847</v>
      </c>
      <c r="C39" s="12" t="s">
        <v>1004</v>
      </c>
      <c r="D39" s="12" t="s">
        <v>1005</v>
      </c>
      <c r="E39" s="12">
        <v>239345</v>
      </c>
      <c r="F39" s="23">
        <v>1</v>
      </c>
      <c r="G39" s="23">
        <f>INT(E39/100000)</f>
        <v>2</v>
      </c>
      <c r="H39" s="23">
        <f>INT(($E39-100000*G39)/10000)</f>
        <v>3</v>
      </c>
      <c r="I39" s="23">
        <f>INT(($E39-100000*G39-10000*H39)/1000)</f>
        <v>9</v>
      </c>
      <c r="J39" s="23">
        <f>INT(($E39-100000*$G39-10000*$H39-1000*$I39)/100)</f>
        <v>3</v>
      </c>
      <c r="K39" s="23">
        <f>INT(($E39-100000*$G39-10000*$H39-1000*$I39-100*$J39)/10)</f>
        <v>4</v>
      </c>
      <c r="L39" s="23">
        <f>INT(($E39-100000*$G39-10000*$H39-1000*$I39-100*$J39-10*$K39))</f>
        <v>5</v>
      </c>
      <c r="M39" s="24">
        <v>2</v>
      </c>
      <c r="N39" s="12" t="s">
        <v>1006</v>
      </c>
      <c r="O39" s="26">
        <f>65+K39+10*LOG10(70+L39)+10*LOG10(100/(100+J39*20))</f>
        <v>85.709412807357751</v>
      </c>
      <c r="P39" s="24">
        <f>IF(N39="",0,IF(EXACT(RIGHT(N39,5),"dB(A)"),IF(ABS(VALUE(LEFT(N39,FIND(" ",N39,1)))-O39)&lt;=0.5,1,-1),-1))</f>
        <v>1</v>
      </c>
      <c r="Q39" s="12" t="s">
        <v>1007</v>
      </c>
      <c r="R39" s="26">
        <f>10*LOG10(10^((80+G39)/10)*(10+L39)*1000/16/3600+10^((85+H39)/10)*(10+K39)*3000/16/3600+10^((90+J39)/10)*(10+J39)*100/16/3600)</f>
        <v>87.374934313164829</v>
      </c>
      <c r="S39" s="24">
        <f>IF(Q39="",0,IF(EXACT(RIGHT(Q39,5),"dB(A)"),IF(ABS(VALUE(LEFT(Q39,FIND(" ",Q39,1)))-R39)&lt;=0.5,1,-1),-1))</f>
        <v>1</v>
      </c>
      <c r="T39" s="12" t="s">
        <v>1008</v>
      </c>
      <c r="U39" s="30">
        <f>4*(500+K39*10+L39)/(400+J39*10)/340*SQRT(8192/4/0.1)</f>
        <v>2.133900165668746</v>
      </c>
      <c r="V39" s="24">
        <f>IF(T39="",0,IF(EXACT(RIGHT(T39,2)," s"),IF(ABS(VALUE(LEFT(T39,FIND(" ",T39,1)))-U39)&lt;=0.005,1,-1),-1))</f>
        <v>1</v>
      </c>
      <c r="W39" s="12">
        <v>8192</v>
      </c>
      <c r="X39" s="36">
        <f>8*2^(5+L39)</f>
        <v>8192</v>
      </c>
      <c r="Y39" s="24">
        <f>IF(W39="",0,IF(ABS(W39-X39)&lt;=1,1,-1))</f>
        <v>1</v>
      </c>
      <c r="Z39" s="12" t="s">
        <v>1009</v>
      </c>
      <c r="AA39" s="26">
        <f>10*LOG10(10^((60+L39-39.4)/10)+10^((63+L39-26.2)/10)+10^((66+L39-16.1)/10)+10^((69+L39-8.6)/10)+10^((72+L39-3.2)/10)+10^((75+L39)/10)+10^((78+L39+1.2)/10)+10^((81+L39+1)/10)+10^((84+L39-1.1)/10)+10^((87+L39-6.6)/10))</f>
        <v>92.684202566927439</v>
      </c>
      <c r="AB39" s="24">
        <f>IF(Z39="",0,IF(EXACT(RIGHT(Z39,5),"dB(A)"),IF(ABS(VALUE(LEFT(Z39,FIND(" ",Z39,1)))-AA39)&lt;=0.2,1,-1),-1))</f>
        <v>-1</v>
      </c>
      <c r="AC39" s="12" t="s">
        <v>1010</v>
      </c>
      <c r="AD39" s="26">
        <f>10*LOG10((10^((60+L39)/10)*(1+J39)+10^((65+K39)/10)*(2+I39/3))/(1+J39+2+I39/3))</f>
        <v>67.64802930795058</v>
      </c>
      <c r="AE39" s="24">
        <f>IF(AC39="",0,IF(EXACT(RIGHT(AC39,5),"dB(A)"),IF(ABS(VALUE(LEFT(AC39,FIND(" ",AC39,1)))-AD39)&lt;=0.5,1,-1),-1))</f>
        <v>1</v>
      </c>
      <c r="AF39" s="12" t="s">
        <v>1011</v>
      </c>
      <c r="AG39" s="26">
        <f>90+K39+10*LOG10(4/(0.16*(300+J39*20)/(1+L39/10)))+3</f>
        <v>87.177287669604311</v>
      </c>
      <c r="AH39" s="24">
        <f>IF(AF39="",0,IF(EXACT(RIGHT(AF39,2),"dB"),IF(ABS(VALUE(LEFT(AF39,FIND(" ",AF39,1)))-AG39)&lt;=0.5,1,-1),-1))</f>
        <v>1</v>
      </c>
      <c r="AI39" s="12" t="s">
        <v>1012</v>
      </c>
      <c r="AJ39" s="26">
        <f>10*LOG10(3+40*(2*SQRT(((10+K39)/2)^2+(3+L39/10)^2)-(10+K39))*100*(1+J39)/340)</f>
        <v>19.072155027960346</v>
      </c>
      <c r="AK39" s="24">
        <f>IF(AI39="",0,IF(EXACT(RIGHT(AI39,2),"dB"),IF(ABS(VALUE(LEFT(AI39,FIND(" ",AI39,1)))-AJ39)&lt;=0.5,1,-1),-1))</f>
        <v>1</v>
      </c>
      <c r="AL39" s="12" t="s">
        <v>1013</v>
      </c>
      <c r="AM39" s="26">
        <f>80+L39-(80+K39)</f>
        <v>1</v>
      </c>
      <c r="AN39" s="24">
        <f>IF(AL39="",0,IF(EXACT(RIGHT(AL39,2),"dB"),IF(ABS(VALUE(LEFT(AL39,FIND(" ",AL39,1)))-AM39)&lt;=0.5,1,-1),-1))</f>
        <v>1</v>
      </c>
      <c r="AO39" s="12" t="s">
        <v>1014</v>
      </c>
      <c r="AP39" s="30">
        <f>((2^(5+L39))/2+1)/48</f>
        <v>10.6875</v>
      </c>
      <c r="AQ39" s="24">
        <f>IF(AO39="",0,IF(EXACT(RIGHT(AO39,2),"ms"),IF(ABS(VALUE(LEFT(AO39,FIND(" ",AO39,1)))-AP39)/AP39&lt;=0.02,1,-1),-1))</f>
        <v>1</v>
      </c>
      <c r="AR39" s="39">
        <f>M39+P39+S39+V39+Y39+AB39+AE39+AH39+AK39+AN39+AQ39</f>
        <v>10</v>
      </c>
    </row>
    <row r="40" spans="1:44" ht="13.2">
      <c r="A40" s="41">
        <v>38</v>
      </c>
      <c r="B40" s="42">
        <v>41992.766643275456</v>
      </c>
      <c r="C40" s="12" t="s">
        <v>1015</v>
      </c>
      <c r="D40" s="12" t="s">
        <v>1016</v>
      </c>
      <c r="E40" s="12">
        <v>242665</v>
      </c>
      <c r="F40" s="23">
        <v>1</v>
      </c>
      <c r="G40" s="23">
        <f>INT(E40/100000)</f>
        <v>2</v>
      </c>
      <c r="H40" s="23">
        <f>INT(($E40-100000*G40)/10000)</f>
        <v>4</v>
      </c>
      <c r="I40" s="23">
        <f>INT(($E40-100000*G40-10000*H40)/1000)</f>
        <v>2</v>
      </c>
      <c r="J40" s="23">
        <f>INT(($E40-100000*$G40-10000*$H40-1000*$I40)/100)</f>
        <v>6</v>
      </c>
      <c r="K40" s="23">
        <f>INT(($E40-100000*$G40-10000*$H40-1000*$I40-100*$J40)/10)</f>
        <v>6</v>
      </c>
      <c r="L40" s="23">
        <f>INT(($E40-100000*$G40-10000*$H40-1000*$I40-100*$J40-10*$K40))</f>
        <v>5</v>
      </c>
      <c r="M40" s="24">
        <v>2</v>
      </c>
      <c r="N40" s="12" t="s">
        <v>1017</v>
      </c>
      <c r="O40" s="26">
        <f>65+K40+10*LOG10(70+L40)+10*LOG10(100/(100+J40*20))</f>
        <v>86.326385825694942</v>
      </c>
      <c r="P40" s="24">
        <f>IF(N40="",0,IF(EXACT(RIGHT(N40,5),"dB(A)"),IF(ABS(VALUE(LEFT(N40,FIND(" ",N40,1)))-O40)&lt;=0.5,1,-1),-1))</f>
        <v>1</v>
      </c>
      <c r="Q40" s="12" t="s">
        <v>1018</v>
      </c>
      <c r="R40" s="26">
        <f>10*LOG10(10^((80+G40)/10)*(10+L40)*1000/16/3600+10^((85+H40)/10)*(10+K40)*3000/16/3600+10^((90+J40)/10)*(10+J40)*100/16/3600)</f>
        <v>89.105170349703613</v>
      </c>
      <c r="S40" s="24">
        <f>IF(Q40="",0,IF(EXACT(RIGHT(Q40,5),"dB(A)"),IF(ABS(VALUE(LEFT(Q40,FIND(" ",Q40,1)))-R40)&lt;=0.5,1,-1),-1))</f>
        <v>1</v>
      </c>
      <c r="T40" s="12" t="s">
        <v>1019</v>
      </c>
      <c r="U40" s="30">
        <f>4*(500+K40*10+L40)/(400+J40*10)/340*SQRT(8192/4/0.1)</f>
        <v>2.0679339658923883</v>
      </c>
      <c r="V40" s="24">
        <f>IF(T40="",0,IF(EXACT(RIGHT(T40,2)," s"),IF(ABS(VALUE(LEFT(T40,FIND(" ",T40,1)))-U40)&lt;=0.005,1,-1),-1))</f>
        <v>1</v>
      </c>
      <c r="W40" s="12">
        <v>8192</v>
      </c>
      <c r="X40" s="36">
        <f>8*2^(5+L40)</f>
        <v>8192</v>
      </c>
      <c r="Y40" s="24">
        <f>IF(W40="",0,IF(ABS(W40-X40)&lt;=1,1,-1))</f>
        <v>1</v>
      </c>
      <c r="Z40" s="12" t="s">
        <v>1020</v>
      </c>
      <c r="AA40" s="26">
        <f>10*LOG10(10^((60+L40-39.4)/10)+10^((63+L40-26.2)/10)+10^((66+L40-16.1)/10)+10^((69+L40-8.6)/10)+10^((72+L40-3.2)/10)+10^((75+L40)/10)+10^((78+L40+1.2)/10)+10^((81+L40+1)/10)+10^((84+L40-1.1)/10)+10^((87+L40-6.6)/10))</f>
        <v>92.684202566927439</v>
      </c>
      <c r="AB40" s="24">
        <f>IF(Z40="",0,IF(EXACT(RIGHT(Z40,5),"dB(A)"),IF(ABS(VALUE(LEFT(Z40,FIND(" ",Z40,1)))-AA40)&lt;=0.2,1,-1),-1))</f>
        <v>-1</v>
      </c>
      <c r="AC40" s="12" t="s">
        <v>1021</v>
      </c>
      <c r="AD40" s="26">
        <f>10*LOG10((10^((60+L40)/10)*(1+J40)+10^((65+K40)/10)*(2+I40/3))/(1+J40+2+I40/3))</f>
        <v>67.606352725187961</v>
      </c>
      <c r="AE40" s="24">
        <f>IF(AC40="",0,IF(EXACT(RIGHT(AC40,5),"dB(A)"),IF(ABS(VALUE(LEFT(AC40,FIND(" ",AC40,1)))-AD40)&lt;=0.5,1,-1),-1))</f>
        <v>1</v>
      </c>
      <c r="AF40" s="12" t="s">
        <v>1022</v>
      </c>
      <c r="AG40" s="26">
        <f>90+K40+10*LOG10(4/(0.16*(300+J40*20)/(1+L40/10)))+3</f>
        <v>88.507819773298181</v>
      </c>
      <c r="AH40" s="24">
        <f>IF(AF40="",0,IF(EXACT(RIGHT(AF40,2),"dB"),IF(ABS(VALUE(LEFT(AF40,FIND(" ",AF40,1)))-AG40)&lt;=0.5,1,-1),-1))</f>
        <v>1</v>
      </c>
      <c r="AI40" s="12" t="s">
        <v>1023</v>
      </c>
      <c r="AJ40" s="26">
        <f>10*LOG10(3+40*(2*SQRT(((10+K40)/2)^2+(3+L40/10)^2)-(10+K40))*100*(1+J40)/340)</f>
        <v>20.919665629706905</v>
      </c>
      <c r="AK40" s="24">
        <f>IF(AI40="",0,IF(EXACT(RIGHT(AI40,2),"dB"),IF(ABS(VALUE(LEFT(AI40,FIND(" ",AI40,1)))-AJ40)&lt;=0.5,1,-1),-1))</f>
        <v>1</v>
      </c>
      <c r="AL40" s="12" t="s">
        <v>1024</v>
      </c>
      <c r="AM40" s="26">
        <f>80+L40-(80+K40)</f>
        <v>-1</v>
      </c>
      <c r="AN40" s="24">
        <f>IF(AL40="",0,IF(EXACT(RIGHT(AL40,2),"dB"),IF(ABS(VALUE(LEFT(AL40,FIND(" ",AL40,1)))-AM40)&lt;=0.5,1,-1),-1))</f>
        <v>1</v>
      </c>
      <c r="AO40" s="12" t="s">
        <v>1025</v>
      </c>
      <c r="AP40" s="30">
        <f>((2^(5+L40))/2+1)/48</f>
        <v>10.6875</v>
      </c>
      <c r="AQ40" s="24">
        <f>IF(AO40="",0,IF(EXACT(RIGHT(AO40,2),"ms"),IF(ABS(VALUE(LEFT(AO40,FIND(" ",AO40,1)))-AP40)/AP40&lt;=0.02,1,-1),-1))</f>
        <v>1</v>
      </c>
      <c r="AR40" s="39">
        <f>M40+P40+S40+V40+Y40+AB40+AE40+AH40+AK40+AN40+AQ40</f>
        <v>10</v>
      </c>
    </row>
    <row r="41" spans="1:44" ht="13.2">
      <c r="A41" s="41">
        <v>39</v>
      </c>
      <c r="B41" s="42">
        <v>41992.767654247684</v>
      </c>
      <c r="C41" s="12" t="s">
        <v>1189</v>
      </c>
      <c r="D41" s="12" t="s">
        <v>1190</v>
      </c>
      <c r="E41" s="12">
        <v>242615</v>
      </c>
      <c r="F41" s="23">
        <v>1</v>
      </c>
      <c r="G41" s="23">
        <f>INT(E41/100000)</f>
        <v>2</v>
      </c>
      <c r="H41" s="23">
        <f>INT(($E41-100000*G41)/10000)</f>
        <v>4</v>
      </c>
      <c r="I41" s="23">
        <f>INT(($E41-100000*G41-10000*H41)/1000)</f>
        <v>2</v>
      </c>
      <c r="J41" s="23">
        <f>INT(($E41-100000*$G41-10000*$H41-1000*$I41)/100)</f>
        <v>6</v>
      </c>
      <c r="K41" s="23">
        <f>INT(($E41-100000*$G41-10000*$H41-1000*$I41-100*$J41)/10)</f>
        <v>1</v>
      </c>
      <c r="L41" s="23">
        <f>INT(($E41-100000*$G41-10000*$H41-1000*$I41-100*$J41-10*$K41))</f>
        <v>5</v>
      </c>
      <c r="M41" s="24">
        <v>2</v>
      </c>
      <c r="N41" s="12" t="s">
        <v>1191</v>
      </c>
      <c r="O41" s="26">
        <f>65+K41+10*LOG10(70+L41)+10*LOG10(100/(100+J41*20))</f>
        <v>81.326385825694942</v>
      </c>
      <c r="P41" s="24">
        <f>IF(N41="",0,IF(EXACT(RIGHT(N41,5),"dB(A)"),IF(ABS(VALUE(LEFT(N41,FIND(" ",N41,1)))-O41)&lt;=0.5,1,-1),-1))</f>
        <v>1</v>
      </c>
      <c r="Q41" s="12" t="s">
        <v>1192</v>
      </c>
      <c r="R41" s="26">
        <f>10*LOG10(10^((80+G41)/10)*(10+L41)*1000/16/3600+10^((85+H41)/10)*(10+K41)*3000/16/3600+10^((90+J41)/10)*(10+J41)*100/16/3600)</f>
        <v>87.831475276319225</v>
      </c>
      <c r="S41" s="24">
        <f>IF(Q41="",0,IF(EXACT(RIGHT(Q41,5),"dB(A)"),IF(ABS(VALUE(LEFT(Q41,FIND(" ",Q41,1)))-R41)&lt;=0.5,1,-1),-1))</f>
        <v>1</v>
      </c>
      <c r="T41" s="12" t="s">
        <v>1193</v>
      </c>
      <c r="U41" s="30">
        <f>4*(500+K41*10+L41)/(400+J41*10)/340*SQRT(8192/4/0.1)</f>
        <v>1.8849309600612041</v>
      </c>
      <c r="V41" s="24">
        <f>IF(T41="",0,IF(EXACT(RIGHT(T41,2)," s"),IF(ABS(VALUE(LEFT(T41,FIND(" ",T41,1)))-U41)&lt;=0.005,1,-1),-1))</f>
        <v>1</v>
      </c>
      <c r="W41" s="12">
        <v>8192</v>
      </c>
      <c r="X41" s="36">
        <f>8*2^(5+L41)</f>
        <v>8192</v>
      </c>
      <c r="Y41" s="24">
        <f>IF(W41="",0,IF(ABS(W41-X41)&lt;=1,1,-1))</f>
        <v>1</v>
      </c>
      <c r="Z41" s="12" t="s">
        <v>1194</v>
      </c>
      <c r="AA41" s="26">
        <f>10*LOG10(10^((60+L41-39.4)/10)+10^((63+L41-26.2)/10)+10^((66+L41-16.1)/10)+10^((69+L41-8.6)/10)+10^((72+L41-3.2)/10)+10^((75+L41)/10)+10^((78+L41+1.2)/10)+10^((81+L41+1)/10)+10^((84+L41-1.1)/10)+10^((87+L41-6.6)/10))</f>
        <v>92.684202566927439</v>
      </c>
      <c r="AB41" s="24">
        <f>IF(Z41="",0,IF(EXACT(RIGHT(Z41,5),"dB(A)"),IF(ABS(VALUE(LEFT(Z41,FIND(" ",Z41,1)))-AA41)&lt;=0.2,1,-1),-1))</f>
        <v>-1</v>
      </c>
      <c r="AC41" s="12" t="s">
        <v>1195</v>
      </c>
      <c r="AD41" s="26">
        <f>10*LOG10((10^((60+L41)/10)*(1+J41)+10^((65+K41)/10)*(2+I41/3))/(1+J41+2+I41/3))</f>
        <v>65.299628700721968</v>
      </c>
      <c r="AE41" s="24">
        <f>IF(AC41="",0,IF(EXACT(RIGHT(AC41,5),"dB(A)"),IF(ABS(VALUE(LEFT(AC41,FIND(" ",AC41,1)))-AD41)&lt;=0.5,1,-1),-1))</f>
        <v>1</v>
      </c>
      <c r="AF41" s="12" t="s">
        <v>1196</v>
      </c>
      <c r="AG41" s="26">
        <f>90+K41+10*LOG10(4/(0.16*(300+J41*20)/(1+L41/10)))+3</f>
        <v>83.507819773298181</v>
      </c>
      <c r="AH41" s="24">
        <f>IF(AF41="",0,IF(EXACT(RIGHT(AF41,2),"dB"),IF(ABS(VALUE(LEFT(AF41,FIND(" ",AF41,1)))-AG41)&lt;=0.5,1,-1),-1))</f>
        <v>1</v>
      </c>
      <c r="AI41" s="12" t="s">
        <v>1197</v>
      </c>
      <c r="AJ41" s="26">
        <f>10*LOG10(3+40*(2*SQRT(((10+K41)/2)^2+(3+L41/10)^2)-(10+K41))*100*(1+J41)/340)</f>
        <v>22.326623410080643</v>
      </c>
      <c r="AK41" s="24">
        <f>IF(AI41="",0,IF(EXACT(RIGHT(AI41,2),"dB"),IF(ABS(VALUE(LEFT(AI41,FIND(" ",AI41,1)))-AJ41)&lt;=0.5,1,-1),-1))</f>
        <v>1</v>
      </c>
      <c r="AL41" s="12" t="s">
        <v>1198</v>
      </c>
      <c r="AM41" s="26">
        <f>80+L41-(80+K41)</f>
        <v>4</v>
      </c>
      <c r="AN41" s="24">
        <f>IF(AL41="",0,IF(EXACT(RIGHT(AL41,2),"dB"),IF(ABS(VALUE(LEFT(AL41,FIND(" ",AL41,1)))-AM41)&lt;=0.5,1,-1),-1))</f>
        <v>1</v>
      </c>
      <c r="AO41" s="12" t="s">
        <v>1199</v>
      </c>
      <c r="AP41" s="30">
        <f>((2^(5+L41))/2+1)/48</f>
        <v>10.6875</v>
      </c>
      <c r="AQ41" s="24">
        <f>IF(AO41="",0,IF(EXACT(RIGHT(AO41,2),"ms"),IF(ABS(VALUE(LEFT(AO41,FIND(" ",AO41,1)))-AP41)/AP41&lt;=0.02,1,-1),-1))</f>
        <v>1</v>
      </c>
      <c r="AR41" s="39">
        <f>M41+P41+S41+V41+Y41+AB41+AE41+AH41+AK41+AN41+AQ41</f>
        <v>10</v>
      </c>
    </row>
    <row r="42" spans="1:44" ht="13.2">
      <c r="A42" s="41">
        <v>40</v>
      </c>
      <c r="B42" s="42">
        <v>41992.760092557866</v>
      </c>
      <c r="C42" s="12" t="s">
        <v>241</v>
      </c>
      <c r="D42" s="12" t="s">
        <v>242</v>
      </c>
      <c r="E42" s="12">
        <v>233256</v>
      </c>
      <c r="F42" s="23">
        <v>1</v>
      </c>
      <c r="G42" s="23">
        <f>INT(E42/100000)</f>
        <v>2</v>
      </c>
      <c r="H42" s="23">
        <f>INT(($E42-100000*G42)/10000)</f>
        <v>3</v>
      </c>
      <c r="I42" s="23">
        <f>INT(($E42-100000*G42-10000*H42)/1000)</f>
        <v>3</v>
      </c>
      <c r="J42" s="23">
        <f>INT(($E42-100000*$G42-10000*$H42-1000*$I42)/100)</f>
        <v>2</v>
      </c>
      <c r="K42" s="23">
        <f>INT(($E42-100000*$G42-10000*$H42-1000*$I42-100*$J42)/10)</f>
        <v>5</v>
      </c>
      <c r="L42" s="23">
        <f>INT(($E42-100000*$G42-10000*$H42-1000*$I42-100*$J42-10*$K42))</f>
        <v>6</v>
      </c>
      <c r="M42" s="24">
        <v>2</v>
      </c>
      <c r="N42" s="12" t="s">
        <v>243</v>
      </c>
      <c r="O42" s="26">
        <f>65+K42+10*LOG10(70+L42)+10*LOG10(100/(100+J42*20))</f>
        <v>87.346855566025525</v>
      </c>
      <c r="P42" s="24">
        <f>IF(N42="",0,IF(EXACT(RIGHT(N42,5),"dB(A)"),IF(ABS(VALUE(LEFT(N42,FIND(" ",N42,1)))-O42)&lt;=0.5,1,-1),-1))</f>
        <v>1</v>
      </c>
      <c r="Q42" s="12" t="s">
        <v>244</v>
      </c>
      <c r="R42" s="26">
        <f>10*LOG10(10^((80+G42)/10)*(10+L42)*1000/16/3600+10^((85+H42)/10)*(10+K42)*3000/16/3600+10^((90+J42)/10)*(10+J42)*100/16/3600)</f>
        <v>87.558587365360424</v>
      </c>
      <c r="S42" s="24">
        <f>IF(Q42="",0,IF(EXACT(RIGHT(Q42,5),"dB(A)"),IF(ABS(VALUE(LEFT(Q42,FIND(" ",Q42,1)))-R42)&lt;=0.5,1,-1),-1))</f>
        <v>1</v>
      </c>
      <c r="T42" s="12" t="s">
        <v>245</v>
      </c>
      <c r="U42" s="30">
        <f>4*(500+K42*10+L42)/(400+J42*10)/340*SQRT(8192/4/0.1)</f>
        <v>2.2288023224468492</v>
      </c>
      <c r="V42" s="24">
        <f>IF(T42="",0,IF(EXACT(RIGHT(T42,2)," s"),IF(ABS(VALUE(LEFT(T42,FIND(" ",T42,1)))-U42)&lt;=0.005,1,-1),-1))</f>
        <v>1</v>
      </c>
      <c r="W42" s="12">
        <v>16384</v>
      </c>
      <c r="X42" s="36">
        <f>8*2^(5+L42)</f>
        <v>16384</v>
      </c>
      <c r="Y42" s="24">
        <f>IF(W42="",0,IF(ABS(W42-X42)&lt;=1,1,-1))</f>
        <v>1</v>
      </c>
      <c r="Z42" s="12" t="s">
        <v>246</v>
      </c>
      <c r="AA42" s="26">
        <f>10*LOG10(10^((60+L42-39.4)/10)+10^((63+L42-26.2)/10)+10^((66+L42-16.1)/10)+10^((69+L42-8.6)/10)+10^((72+L42-3.2)/10)+10^((75+L42)/10)+10^((78+L42+1.2)/10)+10^((81+L42+1)/10)+10^((84+L42-1.1)/10)+10^((87+L42-6.6)/10))</f>
        <v>93.684202566927453</v>
      </c>
      <c r="AB42" s="24">
        <f>IF(Z42="",0,IF(EXACT(RIGHT(Z42,5),"dB(A)"),IF(ABS(VALUE(LEFT(Z42,FIND(" ",Z42,1)))-AA42)&lt;=0.2,1,-1),-1))</f>
        <v>1</v>
      </c>
      <c r="AC42" s="12" t="s">
        <v>247</v>
      </c>
      <c r="AD42" s="26">
        <f>10*LOG10((10^((60+L42)/10)*(1+J42)+10^((65+K42)/10)*(2+I42/3))/(1+J42+2+I42/3))</f>
        <v>68.44510467445312</v>
      </c>
      <c r="AE42" s="24">
        <f>IF(AC42="",0,IF(EXACT(RIGHT(AC42,5),"dB(A)"),IF(ABS(VALUE(LEFT(AC42,FIND(" ",AC42,1)))-AD42)&lt;=0.5,1,-1),-1))</f>
        <v>1</v>
      </c>
      <c r="AF42" s="12" t="s">
        <v>248</v>
      </c>
      <c r="AG42" s="26">
        <f>90+K42+10*LOG10(4/(0.16*(300+J42*20)/(1+L42/10)))+3</f>
        <v>88.705810742857068</v>
      </c>
      <c r="AH42" s="24">
        <f>IF(AF42="",0,IF(EXACT(RIGHT(AF42,2),"dB"),IF(ABS(VALUE(LEFT(AF42,FIND(" ",AF42,1)))-AG42)&lt;=0.5,1,-1),-1))</f>
        <v>1</v>
      </c>
      <c r="AI42" s="12" t="s">
        <v>249</v>
      </c>
      <c r="AJ42" s="26">
        <f>10*LOG10(3+40*(2*SQRT(((10+K42)/2)^2+(3+L42/10)^2)-(10+K42))*100*(1+J42)/340)</f>
        <v>17.841160228460975</v>
      </c>
      <c r="AK42" s="24">
        <f>IF(AI42="",0,IF(EXACT(RIGHT(AI42,2),"dB"),IF(ABS(VALUE(LEFT(AI42,FIND(" ",AI42,1)))-AJ42)&lt;=0.5,1,-1),-1))</f>
        <v>-1</v>
      </c>
      <c r="AL42" s="12" t="s">
        <v>250</v>
      </c>
      <c r="AM42" s="26">
        <f>80+L42-(80+K42)</f>
        <v>1</v>
      </c>
      <c r="AN42" s="24">
        <f>IF(AL42="",0,IF(EXACT(RIGHT(AL42,2),"dB"),IF(ABS(VALUE(LEFT(AL42,FIND(" ",AL42,1)))-AM42)&lt;=0.5,1,-1),-1))</f>
        <v>1</v>
      </c>
      <c r="AO42" s="12" t="s">
        <v>251</v>
      </c>
      <c r="AP42" s="30">
        <f>((2^(5+L42))/2+1)/48</f>
        <v>21.354166666666668</v>
      </c>
      <c r="AQ42" s="24">
        <f>IF(AO42="",0,IF(EXACT(RIGHT(AO42,2),"ms"),IF(ABS(VALUE(LEFT(AO42,FIND(" ",AO42,1)))-AP42)/AP42&lt;=0.02,1,-1),-1))</f>
        <v>1</v>
      </c>
      <c r="AR42" s="39">
        <f>M42+P42+S42+V42+Y42+AB42+AE42+AH42+AK42+AN42+AQ42</f>
        <v>10</v>
      </c>
    </row>
    <row r="43" spans="1:44" ht="13.2">
      <c r="A43" s="41">
        <v>41</v>
      </c>
      <c r="B43" s="42">
        <v>41992.763049687499</v>
      </c>
      <c r="C43" s="12" t="s">
        <v>441</v>
      </c>
      <c r="D43" s="12" t="s">
        <v>442</v>
      </c>
      <c r="E43" s="12">
        <v>254787</v>
      </c>
      <c r="F43" s="23">
        <v>1</v>
      </c>
      <c r="G43" s="23">
        <f>INT(E43/100000)</f>
        <v>2</v>
      </c>
      <c r="H43" s="23">
        <f>INT(($E43-100000*G43)/10000)</f>
        <v>5</v>
      </c>
      <c r="I43" s="23">
        <f>INT(($E43-100000*G43-10000*H43)/1000)</f>
        <v>4</v>
      </c>
      <c r="J43" s="23">
        <f>INT(($E43-100000*$G43-10000*$H43-1000*$I43)/100)</f>
        <v>7</v>
      </c>
      <c r="K43" s="23">
        <f>INT(($E43-100000*$G43-10000*$H43-1000*$I43-100*$J43)/10)</f>
        <v>8</v>
      </c>
      <c r="L43" s="23">
        <f>INT(($E43-100000*$G43-10000*$H43-1000*$I43-100*$J43-10*$K43))</f>
        <v>7</v>
      </c>
      <c r="M43" s="24">
        <v>2</v>
      </c>
      <c r="N43" s="12" t="s">
        <v>443</v>
      </c>
      <c r="O43" s="26">
        <f>65+K43+10*LOG10(70+L43)+10*LOG10(100/(100+J43*20))</f>
        <v>88.062794834608752</v>
      </c>
      <c r="P43" s="24">
        <f>IF(N43="",0,IF(EXACT(RIGHT(N43,5),"dB(A)"),IF(ABS(VALUE(LEFT(N43,FIND(" ",N43,1)))-O43)&lt;=0.5,1,-1),-1))</f>
        <v>1</v>
      </c>
      <c r="Q43" s="12" t="s">
        <v>444</v>
      </c>
      <c r="R43" s="26">
        <f>10*LOG10(10^((80+G43)/10)*(10+L43)*1000/16/3600+10^((85+H43)/10)*(10+K43)*3000/16/3600+10^((90+J43)/10)*(10+J43)*100/16/3600)</f>
        <v>90.539216947816357</v>
      </c>
      <c r="S43" s="24">
        <f>IF(Q43="",0,IF(EXACT(RIGHT(Q43,5),"dB(A)"),IF(ABS(VALUE(LEFT(Q43,FIND(" ",Q43,1)))-R43)&lt;=0.5,1,-1),-1))</f>
        <v>1</v>
      </c>
      <c r="T43" s="12" t="s">
        <v>445</v>
      </c>
      <c r="U43" s="30">
        <f>4*(500+K43*10+L43)/(400+J43*10)/340*SQRT(8192/4/0.1)</f>
        <v>2.1027434738100652</v>
      </c>
      <c r="V43" s="24">
        <f>IF(T43="",0,IF(EXACT(RIGHT(T43,2)," s"),IF(ABS(VALUE(LEFT(T43,FIND(" ",T43,1)))-U43)&lt;=0.005,1,-1),-1))</f>
        <v>1</v>
      </c>
      <c r="W43" s="12">
        <v>32768</v>
      </c>
      <c r="X43" s="36">
        <f>8*2^(5+L43)</f>
        <v>32768</v>
      </c>
      <c r="Y43" s="24">
        <f>IF(W43="",0,IF(ABS(W43-X43)&lt;=1,1,-1))</f>
        <v>1</v>
      </c>
      <c r="Z43" s="12" t="s">
        <v>446</v>
      </c>
      <c r="AA43" s="26">
        <f>10*LOG10(10^((60+L43-39.4)/10)+10^((63+L43-26.2)/10)+10^((66+L43-16.1)/10)+10^((69+L43-8.6)/10)+10^((72+L43-3.2)/10)+10^((75+L43)/10)+10^((78+L43+1.2)/10)+10^((81+L43+1)/10)+10^((84+L43-1.1)/10)+10^((87+L43-6.6)/10))</f>
        <v>94.684202566927453</v>
      </c>
      <c r="AB43" s="24">
        <f>IF(Z43="",0,IF(EXACT(RIGHT(Z43,5),"dB(A)"),IF(ABS(VALUE(LEFT(Z43,FIND(" ",Z43,1)))-AA43)&lt;=0.2,1,-1),-1))</f>
        <v>1</v>
      </c>
      <c r="AC43" s="12" t="s">
        <v>447</v>
      </c>
      <c r="AD43" s="26">
        <f>10*LOG10((10^((60+L43)/10)*(1+J43)+10^((65+K43)/10)*(2+I43/3))/(1+J43+2+I43/3))</f>
        <v>69.734147078721264</v>
      </c>
      <c r="AE43" s="24">
        <f>IF(AC43="",0,IF(EXACT(RIGHT(AC43,5),"dB(A)"),IF(ABS(VALUE(LEFT(AC43,FIND(" ",AC43,1)))-AD43)&lt;=0.5,1,-1),-1))</f>
        <v>1</v>
      </c>
      <c r="AF43" s="12" t="s">
        <v>448</v>
      </c>
      <c r="AG43" s="26">
        <f>90+K43+10*LOG10(4/(0.16*(300+J43*20)/(1+L43/10)))+3</f>
        <v>90.849362535641234</v>
      </c>
      <c r="AH43" s="24">
        <f>IF(AF43="",0,IF(EXACT(RIGHT(AF43,2),"dB"),IF(ABS(VALUE(LEFT(AF43,FIND(" ",AF43,1)))-AG43)&lt;=0.5,1,-1),-1))</f>
        <v>1</v>
      </c>
      <c r="AI43" s="12" t="s">
        <v>449</v>
      </c>
      <c r="AJ43" s="26">
        <f>10*LOG10(3+40*(2*SQRT(((10+K43)/2)^2+(3+L43/10)^2)-(10+K43))*100*(1+J43)/340)</f>
        <v>21.479147788827166</v>
      </c>
      <c r="AK43" s="24">
        <f>IF(AI43="",0,IF(EXACT(RIGHT(AI43,2),"dB"),IF(ABS(VALUE(LEFT(AI43,FIND(" ",AI43,1)))-AJ43)&lt;=0.5,1,-1),-1))</f>
        <v>-1</v>
      </c>
      <c r="AL43" s="12" t="s">
        <v>450</v>
      </c>
      <c r="AM43" s="26">
        <f>80+L43-(80+K43)</f>
        <v>-1</v>
      </c>
      <c r="AN43" s="24">
        <f>IF(AL43="",0,IF(EXACT(RIGHT(AL43,2),"dB"),IF(ABS(VALUE(LEFT(AL43,FIND(" ",AL43,1)))-AM43)&lt;=0.5,1,-1),-1))</f>
        <v>1</v>
      </c>
      <c r="AO43" s="12" t="s">
        <v>451</v>
      </c>
      <c r="AP43" s="30">
        <f>((2^(5+L43))/2+1)/48</f>
        <v>42.6875</v>
      </c>
      <c r="AQ43" s="24">
        <f>IF(AO43="",0,IF(EXACT(RIGHT(AO43,2),"ms"),IF(ABS(VALUE(LEFT(AO43,FIND(" ",AO43,1)))-AP43)/AP43&lt;=0.02,1,-1),-1))</f>
        <v>1</v>
      </c>
      <c r="AR43" s="39">
        <f>M43+P43+S43+V43+Y43+AB43+AE43+AH43+AK43+AN43+AQ43</f>
        <v>10</v>
      </c>
    </row>
    <row r="44" spans="1:44" ht="13.2">
      <c r="A44" s="41">
        <v>42</v>
      </c>
      <c r="B44" s="42">
        <v>41992.769429097221</v>
      </c>
      <c r="C44" s="12" t="s">
        <v>473</v>
      </c>
      <c r="D44" s="12" t="s">
        <v>474</v>
      </c>
      <c r="E44" s="12">
        <v>239163</v>
      </c>
      <c r="F44" s="23">
        <v>1</v>
      </c>
      <c r="G44" s="23">
        <f>INT(E44/100000)</f>
        <v>2</v>
      </c>
      <c r="H44" s="23">
        <f>INT(($E44-100000*G44)/10000)</f>
        <v>3</v>
      </c>
      <c r="I44" s="23">
        <f>INT(($E44-100000*G44-10000*H44)/1000)</f>
        <v>9</v>
      </c>
      <c r="J44" s="23">
        <f>INT(($E44-100000*$G44-10000*$H44-1000*$I44)/100)</f>
        <v>1</v>
      </c>
      <c r="K44" s="23">
        <f>INT(($E44-100000*$G44-10000*$H44-1000*$I44-100*$J44)/10)</f>
        <v>6</v>
      </c>
      <c r="L44" s="23">
        <f>INT(($E44-100000*$G44-10000*$H44-1000*$I44-100*$J44-10*$K44))</f>
        <v>3</v>
      </c>
      <c r="M44" s="24">
        <v>2</v>
      </c>
      <c r="N44" s="12" t="s">
        <v>475</v>
      </c>
      <c r="O44" s="26">
        <f>65+K44+10*LOG10(70+L44)+10*LOG10(100/(100+J44*20))</f>
        <v>88.841416140728313</v>
      </c>
      <c r="P44" s="24">
        <f>IF(N44="",0,IF(EXACT(RIGHT(N44,5),"dB(A)"),IF(ABS(VALUE(LEFT(N44,FIND(" ",N44,1)))-O44)&lt;=0.5,1,-1),-1))</f>
        <v>1</v>
      </c>
      <c r="Q44" s="12" t="s">
        <v>476</v>
      </c>
      <c r="R44" s="26">
        <f>10*LOG10(10^((80+G44)/10)*(10+L44)*1000/16/3600+10^((85+H44)/10)*(10+K44)*3000/16/3600+10^((90+J44)/10)*(10+J44)*100/16/3600)</f>
        <v>87.67608428059242</v>
      </c>
      <c r="S44" s="24">
        <f>IF(Q44="",0,IF(EXACT(RIGHT(Q44,5),"dB(A)"),IF(ABS(VALUE(LEFT(Q44,FIND(" ",Q44,1)))-R44)&lt;=0.5,1,-1),-1))</f>
        <v>1</v>
      </c>
      <c r="T44" s="12" t="s">
        <v>477</v>
      </c>
      <c r="U44" s="30">
        <f>4*(500+K44*10+L44)/(400+J44*10)/340*SQRT(8192/4/0.1)</f>
        <v>2.3119082170809877</v>
      </c>
      <c r="V44" s="24">
        <f>IF(T44="",0,IF(EXACT(RIGHT(T44,2)," s"),IF(ABS(VALUE(LEFT(T44,FIND(" ",T44,1)))-U44)&lt;=0.005,1,-1),-1))</f>
        <v>1</v>
      </c>
      <c r="W44" s="12">
        <v>2048</v>
      </c>
      <c r="X44" s="36">
        <f>8*2^(5+L44)</f>
        <v>2048</v>
      </c>
      <c r="Y44" s="24">
        <f>IF(W44="",0,IF(ABS(W44-X44)&lt;=1,1,-1))</f>
        <v>1</v>
      </c>
      <c r="Z44" s="12" t="s">
        <v>478</v>
      </c>
      <c r="AA44" s="26">
        <f>10*LOG10(10^((60+L44-39.4)/10)+10^((63+L44-26.2)/10)+10^((66+L44-16.1)/10)+10^((69+L44-8.6)/10)+10^((72+L44-3.2)/10)+10^((75+L44)/10)+10^((78+L44+1.2)/10)+10^((81+L44+1)/10)+10^((84+L44-1.1)/10)+10^((87+L44-6.6)/10))</f>
        <v>90.684202566927453</v>
      </c>
      <c r="AB44" s="24">
        <f>IF(Z44="",0,IF(EXACT(RIGHT(Z44,5),"dB(A)"),IF(ABS(VALUE(LEFT(Z44,FIND(" ",Z44,1)))-AA44)&lt;=0.2,1,-1),-1))</f>
        <v>1</v>
      </c>
      <c r="AC44" s="12" t="s">
        <v>479</v>
      </c>
      <c r="AD44" s="26">
        <f>10*LOG10((10^((60+L44)/10)*(1+J44)+10^((65+K44)/10)*(2+I44/3))/(1+J44+2+I44/3))</f>
        <v>69.8056687548074</v>
      </c>
      <c r="AE44" s="24">
        <f>IF(AC44="",0,IF(EXACT(RIGHT(AC44,5),"dB(A)"),IF(ABS(VALUE(LEFT(AC44,FIND(" ",AC44,1)))-AD44)&lt;=0.5,1,-1),-1))</f>
        <v>1</v>
      </c>
      <c r="AF44" s="44" t="s">
        <v>480</v>
      </c>
      <c r="AG44" s="26">
        <f>90+K44+10*LOG10(4/(0.16*(300+J44*20)/(1+L44/10)))+3</f>
        <v>89.067333826589689</v>
      </c>
      <c r="AH44" s="24">
        <f>IF(AF44="",0,IF(EXACT(RIGHT(AF44,2),"dB"),IF(ABS(VALUE(LEFT(AF44,FIND(" ",AF44,1)))-AG44)&lt;=0.5,1,-1),-1))</f>
        <v>-1</v>
      </c>
      <c r="AI44" s="12" t="s">
        <v>481</v>
      </c>
      <c r="AJ44" s="26">
        <f>10*LOG10(3+40*(2*SQRT(((10+K44)/2)^2+(3+L44/10)^2)-(10+K44))*100*(1+J44)/340)</f>
        <v>15.285542719294314</v>
      </c>
      <c r="AK44" s="24">
        <f>IF(AI44="",0,IF(EXACT(RIGHT(AI44,2),"dB"),IF(ABS(VALUE(LEFT(AI44,FIND(" ",AI44,1)))-AJ44)&lt;=0.5,1,-1),-1))</f>
        <v>1</v>
      </c>
      <c r="AL44" s="12" t="s">
        <v>482</v>
      </c>
      <c r="AM44" s="26">
        <f>80+L44-(80+K44)</f>
        <v>-3</v>
      </c>
      <c r="AN44" s="24">
        <f>IF(AL44="",0,IF(EXACT(RIGHT(AL44,2),"dB"),IF(ABS(VALUE(LEFT(AL44,FIND(" ",AL44,1)))-AM44)&lt;=0.5,1,-1),-1))</f>
        <v>1</v>
      </c>
      <c r="AO44" s="12" t="s">
        <v>483</v>
      </c>
      <c r="AP44" s="30">
        <f>((2^(5+L44))/2+1)/48</f>
        <v>2.6875</v>
      </c>
      <c r="AQ44" s="24">
        <f>IF(AO44="",0,IF(EXACT(RIGHT(AO44,2),"ms"),IF(ABS(VALUE(LEFT(AO44,FIND(" ",AO44,1)))-AP44)/AP44&lt;=0.02,1,-1),-1))</f>
        <v>1</v>
      </c>
      <c r="AR44" s="39">
        <f>M44+P44+S44+V44+Y44+AB44+AE44+AH44+AK44+AN44+AQ44</f>
        <v>10</v>
      </c>
    </row>
    <row r="45" spans="1:44" ht="13.2">
      <c r="A45" s="41">
        <v>43</v>
      </c>
      <c r="B45" s="42">
        <v>41992.76362168981</v>
      </c>
      <c r="C45" s="12" t="s">
        <v>505</v>
      </c>
      <c r="D45" s="12" t="s">
        <v>506</v>
      </c>
      <c r="E45" s="12">
        <v>239175</v>
      </c>
      <c r="F45" s="23">
        <v>1</v>
      </c>
      <c r="G45" s="23">
        <f>INT(E45/100000)</f>
        <v>2</v>
      </c>
      <c r="H45" s="23">
        <f>INT(($E45-100000*G45)/10000)</f>
        <v>3</v>
      </c>
      <c r="I45" s="23">
        <f>INT(($E45-100000*G45-10000*H45)/1000)</f>
        <v>9</v>
      </c>
      <c r="J45" s="23">
        <f>INT(($E45-100000*$G45-10000*$H45-1000*$I45)/100)</f>
        <v>1</v>
      </c>
      <c r="K45" s="23">
        <f>INT(($E45-100000*$G45-10000*$H45-1000*$I45-100*$J45)/10)</f>
        <v>7</v>
      </c>
      <c r="L45" s="23">
        <f>INT(($E45-100000*$G45-10000*$H45-1000*$I45-100*$J45-10*$K45))</f>
        <v>5</v>
      </c>
      <c r="M45" s="24">
        <v>2</v>
      </c>
      <c r="N45" s="12" t="s">
        <v>507</v>
      </c>
      <c r="O45" s="26">
        <f>65+K45+10*LOG10(70+L45)+10*LOG10(100/(100+J45*20))</f>
        <v>89.95880017344075</v>
      </c>
      <c r="P45" s="24">
        <f>IF(N45="",0,IF(EXACT(RIGHT(N45,5),"dB(A)"),IF(ABS(VALUE(LEFT(N45,FIND(" ",N45,1)))-O45)&lt;=0.5,1,-1),-1))</f>
        <v>1</v>
      </c>
      <c r="Q45" s="12" t="s">
        <v>508</v>
      </c>
      <c r="R45" s="26">
        <f>10*LOG10(10^((80+G45)/10)*(10+L45)*1000/16/3600+10^((85+H45)/10)*(10+K45)*3000/16/3600+10^((90+J45)/10)*(10+J45)*100/16/3600)</f>
        <v>87.951674593010495</v>
      </c>
      <c r="S45" s="24">
        <f>IF(Q45="",0,IF(EXACT(RIGHT(Q45,5),"dB(A)"),IF(ABS(VALUE(LEFT(Q45,FIND(" ",Q45,1)))-R45)&lt;=0.5,1,-1),-1))</f>
        <v>1</v>
      </c>
      <c r="T45" s="12" t="s">
        <v>509</v>
      </c>
      <c r="U45" s="30">
        <f>4*(500+K45*10+L45)/(400+J45*10)/340*SQRT(8192/4/0.1)</f>
        <v>2.3611851240169948</v>
      </c>
      <c r="V45" s="24">
        <f>IF(T45="",0,IF(EXACT(RIGHT(T45,2)," s"),IF(ABS(VALUE(LEFT(T45,FIND(" ",T45,1)))-U45)&lt;=0.005,1,-1),-1))</f>
        <v>1</v>
      </c>
      <c r="W45" s="12">
        <v>8192</v>
      </c>
      <c r="X45" s="36">
        <f>8*2^(5+L45)</f>
        <v>8192</v>
      </c>
      <c r="Y45" s="24">
        <f>IF(W45="",0,IF(ABS(W45-X45)&lt;=1,1,-1))</f>
        <v>1</v>
      </c>
      <c r="Z45" s="12" t="s">
        <v>510</v>
      </c>
      <c r="AA45" s="26">
        <f>10*LOG10(10^((60+L45-39.4)/10)+10^((63+L45-26.2)/10)+10^((66+L45-16.1)/10)+10^((69+L45-8.6)/10)+10^((72+L45-3.2)/10)+10^((75+L45)/10)+10^((78+L45+1.2)/10)+10^((81+L45+1)/10)+10^((84+L45-1.1)/10)+10^((87+L45-6.6)/10))</f>
        <v>92.684202566927439</v>
      </c>
      <c r="AB45" s="24">
        <f>IF(Z45="",0,IF(EXACT(RIGHT(Z45,5),"dB(A)"),IF(ABS(VALUE(LEFT(Z45,FIND(" ",Z45,1)))-AA45)&lt;=0.2,1,-1),-1))</f>
        <v>1</v>
      </c>
      <c r="AC45" s="12" t="s">
        <v>511</v>
      </c>
      <c r="AD45" s="26">
        <f>10*LOG10((10^((60+L45)/10)*(1+J45)+10^((65+K45)/10)*(2+I45/3))/(1+J45+2+I45/3))</f>
        <v>70.872195075492272</v>
      </c>
      <c r="AE45" s="24">
        <f>IF(AC45="",0,IF(EXACT(RIGHT(AC45,5),"dB(A)"),IF(ABS(VALUE(LEFT(AC45,FIND(" ",AC45,1)))-AD45)&lt;=0.5,1,-1),-1))</f>
        <v>1</v>
      </c>
      <c r="AF45" s="12" t="s">
        <v>512</v>
      </c>
      <c r="AG45" s="26">
        <f>90+K45+10*LOG10(4/(0.16*(300+J45*20)/(1+L45/10)))+3</f>
        <v>90.688812894078126</v>
      </c>
      <c r="AH45" s="24">
        <f>IF(AF45="",0,IF(EXACT(RIGHT(AF45,2),"dB"),IF(ABS(VALUE(LEFT(AF45,FIND(" ",AF45,1)))-AG45)&lt;=0.5,1,-1),-1))</f>
        <v>1</v>
      </c>
      <c r="AI45" s="12" t="s">
        <v>513</v>
      </c>
      <c r="AJ45" s="26">
        <f>10*LOG10(3+40*(2*SQRT(((10+K45)/2)^2+(3+L45/10)^2)-(10+K45))*100*(1+J45)/340)</f>
        <v>15.512422191268742</v>
      </c>
      <c r="AK45" s="24">
        <f>IF(AI45="",0,IF(EXACT(RIGHT(AI45,2),"dB"),IF(ABS(VALUE(LEFT(AI45,FIND(" ",AI45,1)))-AJ45)&lt;=0.5,1,-1),-1))</f>
        <v>-1</v>
      </c>
      <c r="AL45" s="12" t="s">
        <v>514</v>
      </c>
      <c r="AM45" s="26">
        <f>80+L45-(80+K45)</f>
        <v>-2</v>
      </c>
      <c r="AN45" s="24">
        <f>IF(AL45="",0,IF(EXACT(RIGHT(AL45,2),"dB"),IF(ABS(VALUE(LEFT(AL45,FIND(" ",AL45,1)))-AM45)&lt;=0.5,1,-1),-1))</f>
        <v>1</v>
      </c>
      <c r="AO45" s="12" t="s">
        <v>515</v>
      </c>
      <c r="AP45" s="30">
        <f>((2^(5+L45))/2+1)/48</f>
        <v>10.6875</v>
      </c>
      <c r="AQ45" s="24">
        <f>IF(AO45="",0,IF(EXACT(RIGHT(AO45,2),"ms"),IF(ABS(VALUE(LEFT(AO45,FIND(" ",AO45,1)))-AP45)/AP45&lt;=0.02,1,-1),-1))</f>
        <v>1</v>
      </c>
      <c r="AR45" s="39">
        <f>M45+P45+S45+V45+Y45+AB45+AE45+AH45+AK45+AN45+AQ45</f>
        <v>10</v>
      </c>
    </row>
    <row r="46" spans="1:44" ht="13.2">
      <c r="A46" s="41">
        <v>44</v>
      </c>
      <c r="B46" s="42">
        <v>41992.763715601846</v>
      </c>
      <c r="C46" s="12" t="s">
        <v>538</v>
      </c>
      <c r="D46" s="12" t="s">
        <v>539</v>
      </c>
      <c r="E46" s="12">
        <v>239663</v>
      </c>
      <c r="F46" s="23">
        <v>1</v>
      </c>
      <c r="G46" s="23">
        <f>INT(E46/100000)</f>
        <v>2</v>
      </c>
      <c r="H46" s="23">
        <f>INT(($E46-100000*G46)/10000)</f>
        <v>3</v>
      </c>
      <c r="I46" s="23">
        <f>INT(($E46-100000*G46-10000*H46)/1000)</f>
        <v>9</v>
      </c>
      <c r="J46" s="23">
        <f>INT(($E46-100000*$G46-10000*$H46-1000*$I46)/100)</f>
        <v>6</v>
      </c>
      <c r="K46" s="23">
        <f>INT(($E46-100000*$G46-10000*$H46-1000*$I46-100*$J46)/10)</f>
        <v>6</v>
      </c>
      <c r="L46" s="23">
        <f>INT(($E46-100000*$G46-10000*$H46-1000*$I46-100*$J46-10*$K46))</f>
        <v>3</v>
      </c>
      <c r="M46" s="24">
        <v>2</v>
      </c>
      <c r="N46" s="12" t="s">
        <v>540</v>
      </c>
      <c r="O46" s="26">
        <f>65+K46+10*LOG10(70+L46)+10*LOG10(100/(100+J46*20))</f>
        <v>86.209001792982505</v>
      </c>
      <c r="P46" s="24">
        <f>IF(N46="",0,IF(EXACT(RIGHT(N46,5),"dB(A)"),IF(ABS(VALUE(LEFT(N46,FIND(" ",N46,1)))-O46)&lt;=0.5,1,-1),-1))</f>
        <v>1</v>
      </c>
      <c r="Q46" s="12" t="s">
        <v>541</v>
      </c>
      <c r="R46" s="26">
        <f>10*LOG10(10^((80+G46)/10)*(10+L46)*1000/16/3600+10^((85+H46)/10)*(10+K46)*3000/16/3600+10^((90+J46)/10)*(10+J46)*100/16/3600)</f>
        <v>88.27468316496595</v>
      </c>
      <c r="S46" s="24">
        <f>IF(Q46="",0,IF(EXACT(RIGHT(Q46,5),"dB(A)"),IF(ABS(VALUE(LEFT(Q46,FIND(" ",Q46,1)))-R46)&lt;=0.5,1,-1),-1))</f>
        <v>1</v>
      </c>
      <c r="T46" s="12" t="s">
        <v>542</v>
      </c>
      <c r="U46" s="30">
        <f>4*(500+K46*10+L46)/(400+J46*10)/340*SQRT(8192/4/0.1)</f>
        <v>2.0606138456591414</v>
      </c>
      <c r="V46" s="24">
        <f>IF(T46="",0,IF(EXACT(RIGHT(T46,2)," s"),IF(ABS(VALUE(LEFT(T46,FIND(" ",T46,1)))-U46)&lt;=0.005,1,-1),-1))</f>
        <v>1</v>
      </c>
      <c r="W46" s="12">
        <v>2048</v>
      </c>
      <c r="X46" s="36">
        <f>8*2^(5+L46)</f>
        <v>2048</v>
      </c>
      <c r="Y46" s="24">
        <f>IF(W46="",0,IF(ABS(W46-X46)&lt;=1,1,-1))</f>
        <v>1</v>
      </c>
      <c r="Z46" s="12" t="s">
        <v>543</v>
      </c>
      <c r="AA46" s="26">
        <f>10*LOG10(10^((60+L46-39.4)/10)+10^((63+L46-26.2)/10)+10^((66+L46-16.1)/10)+10^((69+L46-8.6)/10)+10^((72+L46-3.2)/10)+10^((75+L46)/10)+10^((78+L46+1.2)/10)+10^((81+L46+1)/10)+10^((84+L46-1.1)/10)+10^((87+L46-6.6)/10))</f>
        <v>90.684202566927453</v>
      </c>
      <c r="AB46" s="24">
        <f>IF(Z46="",0,IF(EXACT(RIGHT(Z46,5),"dB(A)"),IF(ABS(VALUE(LEFT(Z46,FIND(" ",Z46,1)))-AA46)&lt;=0.2,1,-1),-1))</f>
        <v>1</v>
      </c>
      <c r="AC46" s="12" t="s">
        <v>544</v>
      </c>
      <c r="AD46" s="26">
        <f>10*LOG10((10^((60+L46)/10)*(1+J46)+10^((65+K46)/10)*(2+I46/3))/(1+J46+2+I46/3))</f>
        <v>68.068191083635497</v>
      </c>
      <c r="AE46" s="24">
        <f>IF(AC46="",0,IF(EXACT(RIGHT(AC46,5),"dB(A)"),IF(ABS(VALUE(LEFT(AC46,FIND(" ",AC46,1)))-AD46)&lt;=0.5,1,-1),-1))</f>
        <v>1</v>
      </c>
      <c r="AF46" s="12" t="s">
        <v>545</v>
      </c>
      <c r="AG46" s="26">
        <f>90+K46+10*LOG10(4/(0.16*(300+J46*20)/(1+L46/10)))+3</f>
        <v>87.886340705809744</v>
      </c>
      <c r="AH46" s="24">
        <f>IF(AF46="",0,IF(EXACT(RIGHT(AF46,2),"dB"),IF(ABS(VALUE(LEFT(AF46,FIND(" ",AF46,1)))-AG46)&lt;=0.5,1,-1),-1))</f>
        <v>1</v>
      </c>
      <c r="AI46" s="12" t="s">
        <v>546</v>
      </c>
      <c r="AJ46" s="26">
        <f>10*LOG10(3+40*(2*SQRT(((10+K46)/2)^2+(3+L46/10)^2)-(10+K46))*100*(1+J46)/340)</f>
        <v>20.441527885065319</v>
      </c>
      <c r="AK46" s="24">
        <f>IF(AI46="",0,IF(EXACT(RIGHT(AI46,2),"dB"),IF(ABS(VALUE(LEFT(AI46,FIND(" ",AI46,1)))-AJ46)&lt;=0.5,1,-1),-1))</f>
        <v>-1</v>
      </c>
      <c r="AL46" s="12" t="s">
        <v>547</v>
      </c>
      <c r="AM46" s="26">
        <f>80+L46-(80+K46)</f>
        <v>-3</v>
      </c>
      <c r="AN46" s="24">
        <f>IF(AL46="",0,IF(EXACT(RIGHT(AL46,2),"dB"),IF(ABS(VALUE(LEFT(AL46,FIND(" ",AL46,1)))-AM46)&lt;=0.5,1,-1),-1))</f>
        <v>1</v>
      </c>
      <c r="AO46" s="12" t="s">
        <v>548</v>
      </c>
      <c r="AP46" s="30">
        <f>((2^(5+L46))/2+1)/48</f>
        <v>2.6875</v>
      </c>
      <c r="AQ46" s="24">
        <f>IF(AO46="",0,IF(EXACT(RIGHT(AO46,2),"ms"),IF(ABS(VALUE(LEFT(AO46,FIND(" ",AO46,1)))-AP46)/AP46&lt;=0.02,1,-1),-1))</f>
        <v>1</v>
      </c>
      <c r="AR46" s="39">
        <f>M46+P46+S46+V46+Y46+AB46+AE46+AH46+AK46+AN46+AQ46</f>
        <v>10</v>
      </c>
    </row>
    <row r="47" spans="1:44" ht="13.2">
      <c r="A47" s="41">
        <v>45</v>
      </c>
      <c r="B47" s="42">
        <v>41992.763803333335</v>
      </c>
      <c r="C47" s="12" t="s">
        <v>560</v>
      </c>
      <c r="D47" s="12" t="s">
        <v>561</v>
      </c>
      <c r="E47" s="12">
        <v>233604</v>
      </c>
      <c r="F47" s="23">
        <v>1</v>
      </c>
      <c r="G47" s="23">
        <f>INT(E47/100000)</f>
        <v>2</v>
      </c>
      <c r="H47" s="23">
        <f>INT(($E47-100000*G47)/10000)</f>
        <v>3</v>
      </c>
      <c r="I47" s="23">
        <f>INT(($E47-100000*G47-10000*H47)/1000)</f>
        <v>3</v>
      </c>
      <c r="J47" s="23">
        <f>INT(($E47-100000*$G47-10000*$H47-1000*$I47)/100)</f>
        <v>6</v>
      </c>
      <c r="K47" s="23">
        <f>INT(($E47-100000*$G47-10000*$H47-1000*$I47-100*$J47)/10)</f>
        <v>0</v>
      </c>
      <c r="L47" s="23">
        <f>INT(($E47-100000*$G47-10000*$H47-1000*$I47-100*$J47-10*$K47))</f>
        <v>4</v>
      </c>
      <c r="M47" s="24">
        <v>2</v>
      </c>
      <c r="N47" s="12" t="s">
        <v>562</v>
      </c>
      <c r="O47" s="26">
        <f>65+K47+10*LOG10(70+L47)+10*LOG10(100/(100+J47*20))</f>
        <v>80.268090389087703</v>
      </c>
      <c r="P47" s="24">
        <f>IF(N47="",0,IF(EXACT(RIGHT(N47,5),"dB(A)"),IF(ABS(VALUE(LEFT(N47,FIND(" ",N47,1)))-O47)&lt;=0.5,1,-1),-1))</f>
        <v>1</v>
      </c>
      <c r="Q47" s="12" t="s">
        <v>563</v>
      </c>
      <c r="R47" s="26">
        <f>10*LOG10(10^((80+G47)/10)*(10+L47)*1000/16/3600+10^((85+H47)/10)*(10+K47)*3000/16/3600+10^((90+J47)/10)*(10+J47)*100/16/3600)</f>
        <v>86.791831068847998</v>
      </c>
      <c r="S47" s="24">
        <f>IF(Q47="",0,IF(EXACT(RIGHT(Q47,5),"dB(A)"),IF(ABS(VALUE(LEFT(Q47,FIND(" ",Q47,1)))-R47)&lt;=0.5,1,-1),-1))</f>
        <v>1</v>
      </c>
      <c r="T47" s="45" t="s">
        <v>564</v>
      </c>
      <c r="U47" s="30">
        <f>4*(500+K47*10+L47)/(400+J47*10)/340*SQRT(8192/4/0.1)</f>
        <v>1.844670298778343</v>
      </c>
      <c r="V47" s="24">
        <f>IF(T47="",0,IF(EXACT(RIGHT(T47,2)," s"),IF(ABS(VALUE(LEFT(T47,FIND(" ",T47,1)))-U47)&lt;=0.005,1,-1),-1))</f>
        <v>-1</v>
      </c>
      <c r="W47" s="12">
        <v>4096</v>
      </c>
      <c r="X47" s="36">
        <f>8*2^(5+L47)</f>
        <v>4096</v>
      </c>
      <c r="Y47" s="24">
        <f>IF(W47="",0,IF(ABS(W47-X47)&lt;=1,1,-1))</f>
        <v>1</v>
      </c>
      <c r="Z47" s="12" t="s">
        <v>565</v>
      </c>
      <c r="AA47" s="26">
        <f>10*LOG10(10^((60+L47-39.4)/10)+10^((63+L47-26.2)/10)+10^((66+L47-16.1)/10)+10^((69+L47-8.6)/10)+10^((72+L47-3.2)/10)+10^((75+L47)/10)+10^((78+L47+1.2)/10)+10^((81+L47+1)/10)+10^((84+L47-1.1)/10)+10^((87+L47-6.6)/10))</f>
        <v>91.684202566927439</v>
      </c>
      <c r="AB47" s="24">
        <f>IF(Z47="",0,IF(EXACT(RIGHT(Z47,5),"dB(A)"),IF(ABS(VALUE(LEFT(Z47,FIND(" ",Z47,1)))-AA47)&lt;=0.2,1,-1),-1))</f>
        <v>1</v>
      </c>
      <c r="AC47" s="12" t="s">
        <v>566</v>
      </c>
      <c r="AD47" s="26">
        <f>10*LOG10((10^((60+L47)/10)*(1+J47)+10^((65+K47)/10)*(2+I47/3))/(1+J47+2+I47/3))</f>
        <v>64.324888654359825</v>
      </c>
      <c r="AE47" s="24">
        <f>IF(AC47="",0,IF(EXACT(RIGHT(AC47,5),"dB(A)"),IF(ABS(VALUE(LEFT(AC47,FIND(" ",AC47,1)))-AD47)&lt;=0.5,1,-1),-1))</f>
        <v>1</v>
      </c>
      <c r="AF47" s="12" t="s">
        <v>567</v>
      </c>
      <c r="AG47" s="26">
        <f>90+K47+10*LOG10(4/(0.16*(300+J47*20)/(1+L47/10)))+3</f>
        <v>82.208187539523749</v>
      </c>
      <c r="AH47" s="24">
        <f>IF(AF47="",0,IF(EXACT(RIGHT(AF47,2),"dB"),IF(ABS(VALUE(LEFT(AF47,FIND(" ",AF47,1)))-AG47)&lt;=0.5,1,-1),-1))</f>
        <v>1</v>
      </c>
      <c r="AI47" s="12" t="s">
        <v>568</v>
      </c>
      <c r="AJ47" s="26">
        <f>10*LOG10(3+40*(2*SQRT(((10+K47)/2)^2+(3+L47/10)^2)-(10+K47))*100*(1+J47)/340)</f>
        <v>22.439367184363505</v>
      </c>
      <c r="AK47" s="24">
        <f>IF(AI47="",0,IF(EXACT(RIGHT(AI47,2),"dB"),IF(ABS(VALUE(LEFT(AI47,FIND(" ",AI47,1)))-AJ47)&lt;=0.5,1,-1),-1))</f>
        <v>1</v>
      </c>
      <c r="AL47" s="12" t="s">
        <v>569</v>
      </c>
      <c r="AM47" s="26">
        <f>80+L47-(80+K47)</f>
        <v>4</v>
      </c>
      <c r="AN47" s="24">
        <f>IF(AL47="",0,IF(EXACT(RIGHT(AL47,2),"dB"),IF(ABS(VALUE(LEFT(AL47,FIND(" ",AL47,1)))-AM47)&lt;=0.5,1,-1),-1))</f>
        <v>1</v>
      </c>
      <c r="AO47" s="12" t="s">
        <v>570</v>
      </c>
      <c r="AP47" s="30">
        <f>((2^(5+L47))/2+1)/48</f>
        <v>5.354166666666667</v>
      </c>
      <c r="AQ47" s="24">
        <f>IF(AO47="",0,IF(EXACT(RIGHT(AO47,2),"ms"),IF(ABS(VALUE(LEFT(AO47,FIND(" ",AO47,1)))-AP47)/AP47&lt;=0.02,1,-1),-1))</f>
        <v>1</v>
      </c>
      <c r="AR47" s="39">
        <f>M47+P47+S47+V47+Y47+AB47+AE47+AH47+AK47+AN47+AQ47</f>
        <v>10</v>
      </c>
    </row>
    <row r="48" spans="1:44" ht="13.2">
      <c r="A48" s="41">
        <v>46</v>
      </c>
      <c r="B48" s="42">
        <v>41992.763934305556</v>
      </c>
      <c r="C48" s="12" t="s">
        <v>581</v>
      </c>
      <c r="D48" s="12" t="s">
        <v>582</v>
      </c>
      <c r="E48" s="12">
        <v>234286</v>
      </c>
      <c r="F48" s="23">
        <v>1</v>
      </c>
      <c r="G48" s="23">
        <f>INT(E48/100000)</f>
        <v>2</v>
      </c>
      <c r="H48" s="23">
        <f>INT(($E48-100000*G48)/10000)</f>
        <v>3</v>
      </c>
      <c r="I48" s="23">
        <f>INT(($E48-100000*G48-10000*H48)/1000)</f>
        <v>4</v>
      </c>
      <c r="J48" s="23">
        <f>INT(($E48-100000*$G48-10000*$H48-1000*$I48)/100)</f>
        <v>2</v>
      </c>
      <c r="K48" s="23">
        <f>INT(($E48-100000*$G48-10000*$H48-1000*$I48-100*$J48)/10)</f>
        <v>8</v>
      </c>
      <c r="L48" s="23">
        <f>INT(($E48-100000*$G48-10000*$H48-1000*$I48-100*$J48-10*$K48))</f>
        <v>6</v>
      </c>
      <c r="M48" s="24">
        <v>2</v>
      </c>
      <c r="N48" s="12" t="s">
        <v>583</v>
      </c>
      <c r="O48" s="26">
        <f>65+K48+10*LOG10(70+L48)+10*LOG10(100/(100+J48*20))</f>
        <v>90.346855566025525</v>
      </c>
      <c r="P48" s="24">
        <f>IF(N48="",0,IF(EXACT(RIGHT(N48,5),"dB(A)"),IF(ABS(VALUE(LEFT(N48,FIND(" ",N48,1)))-O48)&lt;=0.5,1,-1),-1))</f>
        <v>1</v>
      </c>
      <c r="Q48" s="12" t="s">
        <v>584</v>
      </c>
      <c r="R48" s="26">
        <f>10*LOG10(10^((80+G48)/10)*(10+L48)*1000/16/3600+10^((85+H48)/10)*(10+K48)*3000/16/3600+10^((90+J48)/10)*(10+J48)*100/16/3600)</f>
        <v>88.251442409449524</v>
      </c>
      <c r="S48" s="24">
        <f>IF(Q48="",0,IF(EXACT(RIGHT(Q48,5),"dB(A)"),IF(ABS(VALUE(LEFT(Q48,FIND(" ",Q48,1)))-R48)&lt;=0.5,1,-1),-1))</f>
        <v>1</v>
      </c>
      <c r="T48" s="12" t="s">
        <v>585</v>
      </c>
      <c r="U48" s="30">
        <f>4*(500+K48*10+L48)/(400+J48*10)/340*SQRT(8192/4/0.1)</f>
        <v>2.3490614405644847</v>
      </c>
      <c r="V48" s="24">
        <f>IF(T48="",0,IF(EXACT(RIGHT(T48,2)," s"),IF(ABS(VALUE(LEFT(T48,FIND(" ",T48,1)))-U48)&lt;=0.005,1,-1),-1))</f>
        <v>1</v>
      </c>
      <c r="W48" s="12">
        <v>16384</v>
      </c>
      <c r="X48" s="36">
        <f>8*2^(5+L48)</f>
        <v>16384</v>
      </c>
      <c r="Y48" s="24">
        <f>IF(W48="",0,IF(ABS(W48-X48)&lt;=1,1,-1))</f>
        <v>1</v>
      </c>
      <c r="Z48" s="12" t="s">
        <v>586</v>
      </c>
      <c r="AA48" s="26">
        <f>10*LOG10(10^((60+L48-39.4)/10)+10^((63+L48-26.2)/10)+10^((66+L48-16.1)/10)+10^((69+L48-8.6)/10)+10^((72+L48-3.2)/10)+10^((75+L48)/10)+10^((78+L48+1.2)/10)+10^((81+L48+1)/10)+10^((84+L48-1.1)/10)+10^((87+L48-6.6)/10))</f>
        <v>93.684202566927453</v>
      </c>
      <c r="AB48" s="24">
        <f>IF(Z48="",0,IF(EXACT(RIGHT(Z48,5),"dB(A)"),IF(ABS(VALUE(LEFT(Z48,FIND(" ",Z48,1)))-AA48)&lt;=0.2,1,-1),-1))</f>
        <v>1</v>
      </c>
      <c r="AC48" s="12" t="s">
        <v>587</v>
      </c>
      <c r="AD48" s="26">
        <f>10*LOG10((10^((60+L48)/10)*(1+J48)+10^((65+K48)/10)*(2+I48/3))/(1+J48+2+I48/3))</f>
        <v>70.929714461776939</v>
      </c>
      <c r="AE48" s="24">
        <f>IF(AC48="",0,IF(EXACT(RIGHT(AC48,5),"dB(A)"),IF(ABS(VALUE(LEFT(AC48,FIND(" ",AC48,1)))-AD48)&lt;=0.5,1,-1),-1))</f>
        <v>1</v>
      </c>
      <c r="AF48" s="12" t="s">
        <v>588</v>
      </c>
      <c r="AG48" s="26">
        <f>90+K48+10*LOG10(4/(0.16*(300+J48*20)/(1+L48/10)))+3</f>
        <v>91.705810742857068</v>
      </c>
      <c r="AH48" s="24">
        <f>IF(AF48="",0,IF(EXACT(RIGHT(AF48,2),"dB"),IF(ABS(VALUE(LEFT(AF48,FIND(" ",AF48,1)))-AG48)&lt;=0.5,1,-1),-1))</f>
        <v>1</v>
      </c>
      <c r="AI48" s="12" t="s">
        <v>589</v>
      </c>
      <c r="AJ48" s="26">
        <f>10*LOG10(3+40*(2*SQRT(((10+K48)/2)^2+(3+L48/10)^2)-(10+K48))*100*(1+J48)/340)</f>
        <v>17.15490132552188</v>
      </c>
      <c r="AK48" s="24">
        <f>IF(AI48="",0,IF(EXACT(RIGHT(AI48,2),"dB"),IF(ABS(VALUE(LEFT(AI48,FIND(" ",AI48,1)))-AJ48)&lt;=0.5,1,-1),-1))</f>
        <v>-1</v>
      </c>
      <c r="AL48" s="12" t="s">
        <v>590</v>
      </c>
      <c r="AM48" s="26">
        <f>80+L48-(80+K48)</f>
        <v>-2</v>
      </c>
      <c r="AN48" s="24">
        <f>IF(AL48="",0,IF(EXACT(RIGHT(AL48,2),"dB"),IF(ABS(VALUE(LEFT(AL48,FIND(" ",AL48,1)))-AM48)&lt;=0.5,1,-1),-1))</f>
        <v>1</v>
      </c>
      <c r="AO48" s="12" t="s">
        <v>591</v>
      </c>
      <c r="AP48" s="30">
        <f>((2^(5+L48))/2+1)/48</f>
        <v>21.354166666666668</v>
      </c>
      <c r="AQ48" s="24">
        <f>IF(AO48="",0,IF(EXACT(RIGHT(AO48,2),"ms"),IF(ABS(VALUE(LEFT(AO48,FIND(" ",AO48,1)))-AP48)/AP48&lt;=0.02,1,-1),-1))</f>
        <v>1</v>
      </c>
      <c r="AR48" s="39">
        <f>M48+P48+S48+V48+Y48+AB48+AE48+AH48+AK48+AN48+AQ48</f>
        <v>10</v>
      </c>
    </row>
    <row r="49" spans="1:44" ht="13.2">
      <c r="A49" s="41">
        <v>47</v>
      </c>
      <c r="B49" s="42">
        <v>41992.763980069445</v>
      </c>
      <c r="C49" s="12" t="s">
        <v>592</v>
      </c>
      <c r="D49" s="12" t="s">
        <v>593</v>
      </c>
      <c r="E49" s="12">
        <v>253884</v>
      </c>
      <c r="F49" s="23">
        <v>1</v>
      </c>
      <c r="G49" s="23">
        <f>INT(E49/100000)</f>
        <v>2</v>
      </c>
      <c r="H49" s="23">
        <f>INT(($E49-100000*G49)/10000)</f>
        <v>5</v>
      </c>
      <c r="I49" s="23">
        <f>INT(($E49-100000*G49-10000*H49)/1000)</f>
        <v>3</v>
      </c>
      <c r="J49" s="23">
        <f>INT(($E49-100000*$G49-10000*$H49-1000*$I49)/100)</f>
        <v>8</v>
      </c>
      <c r="K49" s="23">
        <f>INT(($E49-100000*$G49-10000*$H49-1000*$I49-100*$J49)/10)</f>
        <v>8</v>
      </c>
      <c r="L49" s="23">
        <f>INT(($E49-100000*$G49-10000*$H49-1000*$I49-100*$J49-10*$K49))</f>
        <v>4</v>
      </c>
      <c r="M49" s="24">
        <v>2</v>
      </c>
      <c r="N49" s="12" t="s">
        <v>594</v>
      </c>
      <c r="O49" s="26">
        <f>65+K49+10*LOG10(70+L49)+10*LOG10(100/(100+J49*20))</f>
        <v>87.542583717601588</v>
      </c>
      <c r="P49" s="24">
        <f>IF(N49="",0,IF(EXACT(RIGHT(N49,5),"dB(A)"),IF(ABS(VALUE(LEFT(N49,FIND(" ",N49,1)))-O49)&lt;=0.5,1,-1),-1))</f>
        <v>1</v>
      </c>
      <c r="Q49" s="12" t="s">
        <v>595</v>
      </c>
      <c r="R49" s="26">
        <f>10*LOG10(10^((80+G49)/10)*(10+L49)*1000/16/3600+10^((85+H49)/10)*(10+K49)*3000/16/3600+10^((90+J49)/10)*(10+J49)*100/16/3600)</f>
        <v>90.693705290515652</v>
      </c>
      <c r="S49" s="24">
        <f>IF(Q49="",0,IF(EXACT(RIGHT(Q49,5),"dB(A)"),IF(ABS(VALUE(LEFT(Q49,FIND(" ",Q49,1)))-R49)&lt;=0.5,1,-1),-1))</f>
        <v>1</v>
      </c>
      <c r="T49" s="12" t="s">
        <v>596</v>
      </c>
      <c r="U49" s="30">
        <f>4*(500+K49*10+L49)/(400+J49*10)/340*SQRT(8192/4/0.1)</f>
        <v>2.0484136452703954</v>
      </c>
      <c r="V49" s="24">
        <f>IF(T49="",0,IF(EXACT(RIGHT(T49,2)," s"),IF(ABS(VALUE(LEFT(T49,FIND(" ",T49,1)))-U49)&lt;=0.005,1,-1),-1))</f>
        <v>1</v>
      </c>
      <c r="W49" s="12">
        <v>4096</v>
      </c>
      <c r="X49" s="36">
        <f>8*2^(5+L49)</f>
        <v>4096</v>
      </c>
      <c r="Y49" s="24">
        <f>IF(W49="",0,IF(ABS(W49-X49)&lt;=1,1,-1))</f>
        <v>1</v>
      </c>
      <c r="Z49" s="12" t="s">
        <v>597</v>
      </c>
      <c r="AA49" s="26">
        <f>10*LOG10(10^((60+L49-39.4)/10)+10^((63+L49-26.2)/10)+10^((66+L49-16.1)/10)+10^((69+L49-8.6)/10)+10^((72+L49-3.2)/10)+10^((75+L49)/10)+10^((78+L49+1.2)/10)+10^((81+L49+1)/10)+10^((84+L49-1.1)/10)+10^((87+L49-6.6)/10))</f>
        <v>91.684202566927439</v>
      </c>
      <c r="AB49" s="24">
        <f>IF(Z49="",0,IF(EXACT(RIGHT(Z49,5),"dB(A)"),IF(ABS(VALUE(LEFT(Z49,FIND(" ",Z49,1)))-AA49)&lt;=0.2,1,-1),-1))</f>
        <v>1</v>
      </c>
      <c r="AC49" s="12" t="s">
        <v>598</v>
      </c>
      <c r="AD49" s="26">
        <f>10*LOG10((10^((60+L49)/10)*(1+J49)+10^((65+K49)/10)*(2+I49/3))/(1+J49+2+I49/3))</f>
        <v>68.370876132553363</v>
      </c>
      <c r="AE49" s="24">
        <f>IF(AC49="",0,IF(EXACT(RIGHT(AC49,5),"dB(A)"),IF(ABS(VALUE(LEFT(AC49,FIND(" ",AC49,1)))-AD49)&lt;=0.5,1,-1),-1))</f>
        <v>1</v>
      </c>
      <c r="AF49" s="12" t="s">
        <v>599</v>
      </c>
      <c r="AG49" s="26">
        <f>90+K49+10*LOG10(4/(0.16*(300+J49*20)/(1+L49/10)))+3</f>
        <v>89.813102126687014</v>
      </c>
      <c r="AH49" s="24">
        <f>IF(AF49="",0,IF(EXACT(RIGHT(AF49,2),"dB"),IF(ABS(VALUE(LEFT(AF49,FIND(" ",AF49,1)))-AG49)&lt;=0.5,1,-1),-1))</f>
        <v>1</v>
      </c>
      <c r="AI49" s="45" t="s">
        <v>600</v>
      </c>
      <c r="AJ49" s="26">
        <f>10*LOG10(3+40*(2*SQRT(((10+K49)/2)^2+(3+L49/10)^2)-(10+K49))*100*(1+J49)/340)</f>
        <v>21.286118772487637</v>
      </c>
      <c r="AK49" s="24">
        <f>IF(AI49="",0,IF(EXACT(RIGHT(AI49,2),"dB"),IF(ABS(VALUE(LEFT(AI49,FIND(" ",AI49,1)))-AJ49)&lt;=0.5,1,-1),-1))</f>
        <v>-1</v>
      </c>
      <c r="AL49" s="12" t="s">
        <v>601</v>
      </c>
      <c r="AM49" s="26">
        <f>80+L49-(80+K49)</f>
        <v>-4</v>
      </c>
      <c r="AN49" s="24">
        <f>IF(AL49="",0,IF(EXACT(RIGHT(AL49,2),"dB"),IF(ABS(VALUE(LEFT(AL49,FIND(" ",AL49,1)))-AM49)&lt;=0.5,1,-1),-1))</f>
        <v>1</v>
      </c>
      <c r="AO49" s="12" t="s">
        <v>602</v>
      </c>
      <c r="AP49" s="30">
        <f>((2^(5+L49))/2+1)/48</f>
        <v>5.354166666666667</v>
      </c>
      <c r="AQ49" s="24">
        <f>IF(AO49="",0,IF(EXACT(RIGHT(AO49,2),"ms"),IF(ABS(VALUE(LEFT(AO49,FIND(" ",AO49,1)))-AP49)/AP49&lt;=0.02,1,-1),-1))</f>
        <v>1</v>
      </c>
      <c r="AR49" s="39">
        <f>M49+P49+S49+V49+Y49+AB49+AE49+AH49+AK49+AN49+AQ49</f>
        <v>10</v>
      </c>
    </row>
    <row r="50" spans="1:44" ht="13.2">
      <c r="A50" s="41">
        <v>48</v>
      </c>
      <c r="B50" s="42">
        <v>41992.764680312495</v>
      </c>
      <c r="C50" s="12" t="s">
        <v>675</v>
      </c>
      <c r="D50" s="12" t="s">
        <v>676</v>
      </c>
      <c r="E50" s="12">
        <v>239625</v>
      </c>
      <c r="F50" s="23">
        <v>1</v>
      </c>
      <c r="G50" s="23">
        <f>INT(E50/100000)</f>
        <v>2</v>
      </c>
      <c r="H50" s="23">
        <f>INT(($E50-100000*G50)/10000)</f>
        <v>3</v>
      </c>
      <c r="I50" s="23">
        <f>INT(($E50-100000*G50-10000*H50)/1000)</f>
        <v>9</v>
      </c>
      <c r="J50" s="23">
        <f>INT(($E50-100000*$G50-10000*$H50-1000*$I50)/100)</f>
        <v>6</v>
      </c>
      <c r="K50" s="23">
        <f>INT(($E50-100000*$G50-10000*$H50-1000*$I50-100*$J50)/10)</f>
        <v>2</v>
      </c>
      <c r="L50" s="23">
        <f>INT(($E50-100000*$G50-10000*$H50-1000*$I50-100*$J50-10*$K50))</f>
        <v>5</v>
      </c>
      <c r="M50" s="24">
        <v>2</v>
      </c>
      <c r="N50" s="12" t="s">
        <v>677</v>
      </c>
      <c r="O50" s="26">
        <f>65+K50+10*LOG10(70+L50)+10*LOG10(100/(100+J50*20))</f>
        <v>82.326385825694942</v>
      </c>
      <c r="P50" s="24">
        <f>IF(N50="",0,IF(EXACT(RIGHT(N50,5),"dB(A)"),IF(ABS(VALUE(LEFT(N50,FIND(" ",N50,1)))-O50)&lt;=0.5,1,-1),-1))</f>
        <v>1</v>
      </c>
      <c r="Q50" s="12" t="s">
        <v>678</v>
      </c>
      <c r="R50" s="26">
        <f>10*LOG10(10^((80+G50)/10)*(10+L50)*1000/16/3600+10^((85+H50)/10)*(10+K50)*3000/16/3600+10^((90+J50)/10)*(10+J50)*100/16/3600)</f>
        <v>87.37357202510097</v>
      </c>
      <c r="S50" s="24">
        <f>IF(Q50="",0,IF(EXACT(RIGHT(Q50,5),"dB(A)"),IF(ABS(VALUE(LEFT(Q50,FIND(" ",Q50,1)))-R50)&lt;=0.5,1,-1),-1))</f>
        <v>1</v>
      </c>
      <c r="T50" s="12" t="s">
        <v>679</v>
      </c>
      <c r="U50" s="30">
        <f>4*(500+K50*10+L50)/(400+J50*10)/340*SQRT(8192/4/0.1)</f>
        <v>1.9215315612274408</v>
      </c>
      <c r="V50" s="24">
        <f>IF(T50="",0,IF(EXACT(RIGHT(T50,2)," s"),IF(ABS(VALUE(LEFT(T50,FIND(" ",T50,1)))-U50)&lt;=0.005,1,-1),-1))</f>
        <v>1</v>
      </c>
      <c r="W50" s="12">
        <v>8192</v>
      </c>
      <c r="X50" s="36">
        <f>8*2^(5+L50)</f>
        <v>8192</v>
      </c>
      <c r="Y50" s="24">
        <f>IF(W50="",0,IF(ABS(W50-X50)&lt;=1,1,-1))</f>
        <v>1</v>
      </c>
      <c r="Z50" s="12" t="s">
        <v>680</v>
      </c>
      <c r="AA50" s="26">
        <f>10*LOG10(10^((60+L50-39.4)/10)+10^((63+L50-26.2)/10)+10^((66+L50-16.1)/10)+10^((69+L50-8.6)/10)+10^((72+L50-3.2)/10)+10^((75+L50)/10)+10^((78+L50+1.2)/10)+10^((81+L50+1)/10)+10^((84+L50-1.1)/10)+10^((87+L50-6.6)/10))</f>
        <v>92.684202566927439</v>
      </c>
      <c r="AB50" s="24">
        <f>IF(Z50="",0,IF(EXACT(RIGHT(Z50,5),"dB(A)"),IF(ABS(VALUE(LEFT(Z50,FIND(" ",Z50,1)))-AA50)&lt;=0.2,1,-1),-1))</f>
        <v>1</v>
      </c>
      <c r="AC50" s="12" t="s">
        <v>681</v>
      </c>
      <c r="AD50" s="26">
        <f>10*LOG10((10^((60+L50)/10)*(1+J50)+10^((65+K50)/10)*(2+I50/3))/(1+J50+2+I50/3))</f>
        <v>65.947175538024723</v>
      </c>
      <c r="AE50" s="24">
        <f>IF(AC50="",0,IF(EXACT(RIGHT(AC50,5),"dB(A)"),IF(ABS(VALUE(LEFT(AC50,FIND(" ",AC50,1)))-AD50)&lt;=0.5,1,-1),-1))</f>
        <v>1</v>
      </c>
      <c r="AF50" s="12" t="s">
        <v>682</v>
      </c>
      <c r="AG50" s="26">
        <f>90+K50+10*LOG10(4/(0.16*(300+J50*20)/(1+L50/10)))+3</f>
        <v>84.507819773298181</v>
      </c>
      <c r="AH50" s="24">
        <f>IF(AF50="",0,IF(EXACT(RIGHT(AF50,2),"dB"),IF(ABS(VALUE(LEFT(AF50,FIND(" ",AF50,1)))-AG50)&lt;=0.5,1,-1),-1))</f>
        <v>1</v>
      </c>
      <c r="AI50" s="12" t="s">
        <v>683</v>
      </c>
      <c r="AJ50" s="26">
        <f>10*LOG10(3+40*(2*SQRT(((10+K50)/2)^2+(3+L50/10)^2)-(10+K50))*100*(1+J50)/340)</f>
        <v>22.009826493904026</v>
      </c>
      <c r="AK50" s="24">
        <f>IF(AI50="",0,IF(EXACT(RIGHT(AI50,2),"dB"),IF(ABS(VALUE(LEFT(AI50,FIND(" ",AI50,1)))-AJ50)&lt;=0.5,1,-1),-1))</f>
        <v>-1</v>
      </c>
      <c r="AL50" s="12" t="s">
        <v>684</v>
      </c>
      <c r="AM50" s="26">
        <f>80+L50-(80+K50)</f>
        <v>3</v>
      </c>
      <c r="AN50" s="24">
        <f>IF(AL50="",0,IF(EXACT(RIGHT(AL50,2),"dB"),IF(ABS(VALUE(LEFT(AL50,FIND(" ",AL50,1)))-AM50)&lt;=0.5,1,-1),-1))</f>
        <v>1</v>
      </c>
      <c r="AO50" s="12" t="s">
        <v>685</v>
      </c>
      <c r="AP50" s="30">
        <f>((2^(5+L50))/2+1)/48</f>
        <v>10.6875</v>
      </c>
      <c r="AQ50" s="24">
        <f>IF(AO50="",0,IF(EXACT(RIGHT(AO50,2),"ms"),IF(ABS(VALUE(LEFT(AO50,FIND(" ",AO50,1)))-AP50)/AP50&lt;=0.02,1,-1),-1))</f>
        <v>1</v>
      </c>
      <c r="AR50" s="39">
        <f>M50+P50+S50+V50+Y50+AB50+AE50+AH50+AK50+AN50+AQ50</f>
        <v>10</v>
      </c>
    </row>
    <row r="51" spans="1:44" ht="13.2">
      <c r="A51" s="41">
        <v>49</v>
      </c>
      <c r="B51" s="42">
        <v>41992.765064930551</v>
      </c>
      <c r="C51" s="12" t="s">
        <v>724</v>
      </c>
      <c r="D51" s="12" t="s">
        <v>725</v>
      </c>
      <c r="E51" s="12">
        <v>257194</v>
      </c>
      <c r="F51" s="23">
        <v>1</v>
      </c>
      <c r="G51" s="23">
        <f>INT(E51/100000)</f>
        <v>2</v>
      </c>
      <c r="H51" s="23">
        <f>INT(($E51-100000*G51)/10000)</f>
        <v>5</v>
      </c>
      <c r="I51" s="23">
        <f>INT(($E51-100000*G51-10000*H51)/1000)</f>
        <v>7</v>
      </c>
      <c r="J51" s="23">
        <f>INT(($E51-100000*$G51-10000*$H51-1000*$I51)/100)</f>
        <v>1</v>
      </c>
      <c r="K51" s="23">
        <f>INT(($E51-100000*$G51-10000*$H51-1000*$I51-100*$J51)/10)</f>
        <v>9</v>
      </c>
      <c r="L51" s="23">
        <f>INT(($E51-100000*$G51-10000*$H51-1000*$I51-100*$J51-10*$K51))</f>
        <v>4</v>
      </c>
      <c r="M51" s="24">
        <v>2</v>
      </c>
      <c r="N51" s="12" t="s">
        <v>726</v>
      </c>
      <c r="O51" s="26">
        <f>65+K51+10*LOG10(70+L51)+10*LOG10(100/(100+J51*20))</f>
        <v>91.900504736833511</v>
      </c>
      <c r="P51" s="24">
        <f>IF(N51="",0,IF(EXACT(RIGHT(N51,5),"dB(A)"),IF(ABS(VALUE(LEFT(N51,FIND(" ",N51,1)))-O51)&lt;=0.5,1,-1),-1))</f>
        <v>-1</v>
      </c>
      <c r="Q51" s="12" t="s">
        <v>727</v>
      </c>
      <c r="R51" s="26">
        <f>10*LOG10(10^((80+G51)/10)*(10+L51)*1000/16/3600+10^((85+H51)/10)*(10+K51)*3000/16/3600+10^((90+J51)/10)*(10+J51)*100/16/3600)</f>
        <v>90.220764299740054</v>
      </c>
      <c r="S51" s="24">
        <f>IF(Q51="",0,IF(EXACT(RIGHT(Q51,5),"dB(A)"),IF(ABS(VALUE(LEFT(Q51,FIND(" ",Q51,1)))-R51)&lt;=0.5,1,-1),-1))</f>
        <v>1</v>
      </c>
      <c r="T51" s="12" t="s">
        <v>728</v>
      </c>
      <c r="U51" s="30">
        <f>4*(500+K51*10+L51)/(400+J51*10)/340*SQRT(8192/4/0.1)</f>
        <v>2.4392068933323388</v>
      </c>
      <c r="V51" s="24">
        <f>IF(T51="",0,IF(EXACT(RIGHT(T51,2)," s"),IF(ABS(VALUE(LEFT(T51,FIND(" ",T51,1)))-U51)&lt;=0.005,1,-1),-1))</f>
        <v>1</v>
      </c>
      <c r="W51" s="12">
        <v>4096</v>
      </c>
      <c r="X51" s="36">
        <f>8*2^(5+L51)</f>
        <v>4096</v>
      </c>
      <c r="Y51" s="24">
        <f>IF(W51="",0,IF(ABS(W51-X51)&lt;=1,1,-1))</f>
        <v>1</v>
      </c>
      <c r="Z51" s="12" t="s">
        <v>729</v>
      </c>
      <c r="AA51" s="26">
        <f>10*LOG10(10^((60+L51-39.4)/10)+10^((63+L51-26.2)/10)+10^((66+L51-16.1)/10)+10^((69+L51-8.6)/10)+10^((72+L51-3.2)/10)+10^((75+L51)/10)+10^((78+L51+1.2)/10)+10^((81+L51+1)/10)+10^((84+L51-1.1)/10)+10^((87+L51-6.6)/10))</f>
        <v>91.684202566927439</v>
      </c>
      <c r="AB51" s="24">
        <f>IF(Z51="",0,IF(EXACT(RIGHT(Z51,5),"dB(A)"),IF(ABS(VALUE(LEFT(Z51,FIND(" ",Z51,1)))-AA51)&lt;=0.2,1,-1),-1))</f>
        <v>1</v>
      </c>
      <c r="AC51" s="12" t="s">
        <v>730</v>
      </c>
      <c r="AD51" s="26">
        <f>10*LOG10((10^((60+L51)/10)*(1+J51)+10^((65+K51)/10)*(2+I51/3))/(1+J51+2+I51/3))</f>
        <v>72.547853074173901</v>
      </c>
      <c r="AE51" s="24">
        <f>IF(AC51="",0,IF(EXACT(RIGHT(AC51,5),"dB(A)"),IF(ABS(VALUE(LEFT(AC51,FIND(" ",AC51,1)))-AD51)&lt;=0.5,1,-1),-1))</f>
        <v>1</v>
      </c>
      <c r="AF51" s="12" t="s">
        <v>731</v>
      </c>
      <c r="AG51" s="26">
        <f>90+K51+10*LOG10(4/(0.16*(300+J51*20)/(1+L51/10)))+3</f>
        <v>92.389180660303694</v>
      </c>
      <c r="AH51" s="24">
        <f>IF(AF51="",0,IF(EXACT(RIGHT(AF51,2),"dB"),IF(ABS(VALUE(LEFT(AF51,FIND(" ",AF51,1)))-AG51)&lt;=0.5,1,-1),-1))</f>
        <v>1</v>
      </c>
      <c r="AI51" s="12" t="s">
        <v>732</v>
      </c>
      <c r="AJ51" s="26">
        <f>10*LOG10(3+40*(2*SQRT(((10+K51)/2)^2+(3+L51/10)^2)-(10+K51))*100*(1+J51)/340)</f>
        <v>14.881153094869319</v>
      </c>
      <c r="AK51" s="24">
        <f>IF(AI51="",0,IF(EXACT(RIGHT(AI51,2),"dB"),IF(ABS(VALUE(LEFT(AI51,FIND(" ",AI51,1)))-AJ51)&lt;=0.5,1,-1),-1))</f>
        <v>1</v>
      </c>
      <c r="AL51" s="12" t="s">
        <v>733</v>
      </c>
      <c r="AM51" s="26">
        <f>80+L51-(80+K51)</f>
        <v>-5</v>
      </c>
      <c r="AN51" s="24">
        <f>IF(AL51="",0,IF(EXACT(RIGHT(AL51,2),"dB"),IF(ABS(VALUE(LEFT(AL51,FIND(" ",AL51,1)))-AM51)&lt;=0.5,1,-1),-1))</f>
        <v>1</v>
      </c>
      <c r="AO51" s="12" t="s">
        <v>734</v>
      </c>
      <c r="AP51" s="30">
        <f>((2^(5+L51))/2+1)/48</f>
        <v>5.354166666666667</v>
      </c>
      <c r="AQ51" s="24">
        <f>IF(AO51="",0,IF(EXACT(RIGHT(AO51,2),"ms"),IF(ABS(VALUE(LEFT(AO51,FIND(" ",AO51,1)))-AP51)/AP51&lt;=0.02,1,-1),-1))</f>
        <v>1</v>
      </c>
      <c r="AR51" s="39">
        <f>M51+P51+S51+V51+Y51+AB51+AE51+AH51+AK51+AN51+AQ51</f>
        <v>10</v>
      </c>
    </row>
    <row r="52" spans="1:44" ht="13.2">
      <c r="A52" s="41">
        <v>50</v>
      </c>
      <c r="B52" s="42">
        <v>41992.765150694446</v>
      </c>
      <c r="C52" s="12" t="s">
        <v>761</v>
      </c>
      <c r="D52" s="12" t="s">
        <v>762</v>
      </c>
      <c r="E52" s="12">
        <v>240285</v>
      </c>
      <c r="F52" s="23">
        <v>1</v>
      </c>
      <c r="G52" s="23">
        <f>INT(E52/100000)</f>
        <v>2</v>
      </c>
      <c r="H52" s="23">
        <f>INT(($E52-100000*G52)/10000)</f>
        <v>4</v>
      </c>
      <c r="I52" s="23">
        <f>INT(($E52-100000*G52-10000*H52)/1000)</f>
        <v>0</v>
      </c>
      <c r="J52" s="23">
        <f>INT(($E52-100000*$G52-10000*$H52-1000*$I52)/100)</f>
        <v>2</v>
      </c>
      <c r="K52" s="23">
        <f>INT(($E52-100000*$G52-10000*$H52-1000*$I52-100*$J52)/10)</f>
        <v>8</v>
      </c>
      <c r="L52" s="23">
        <f>INT(($E52-100000*$G52-10000*$H52-1000*$I52-100*$J52-10*$K52))</f>
        <v>5</v>
      </c>
      <c r="M52" s="24">
        <v>2</v>
      </c>
      <c r="N52" s="12" t="s">
        <v>763</v>
      </c>
      <c r="O52" s="26">
        <f>65+K52+10*LOG10(70+L52)+10*LOG10(100/(100+J52*20))</f>
        <v>90.289332277134619</v>
      </c>
      <c r="P52" s="24">
        <f>IF(N52="",0,IF(EXACT(RIGHT(N52,5),"dB(A)"),IF(ABS(VALUE(LEFT(N52,FIND(" ",N52,1)))-O52)&lt;=0.5,1,-1),-1))</f>
        <v>1</v>
      </c>
      <c r="Q52" s="12" t="s">
        <v>764</v>
      </c>
      <c r="R52" s="26">
        <f>10*LOG10(10^((80+G52)/10)*(10+L52)*1000/16/3600+10^((85+H52)/10)*(10+K52)*3000/16/3600+10^((90+J52)/10)*(10+J52)*100/16/3600)</f>
        <v>89.132704264650783</v>
      </c>
      <c r="S52" s="24">
        <f>IF(Q52="",0,IF(EXACT(RIGHT(Q52,5),"dB(A)"),IF(ABS(VALUE(LEFT(Q52,FIND(" ",Q52,1)))-R52)&lt;=0.5,1,-1),-1))</f>
        <v>1</v>
      </c>
      <c r="T52" s="12" t="s">
        <v>765</v>
      </c>
      <c r="U52" s="30">
        <f>4*(500+K52*10+L52)/(400+J52*10)/340*SQRT(8192/4/0.1)</f>
        <v>2.3450528032938975</v>
      </c>
      <c r="V52" s="24">
        <f>IF(T52="",0,IF(EXACT(RIGHT(T52,2)," s"),IF(ABS(VALUE(LEFT(T52,FIND(" ",T52,1)))-U52)&lt;=0.005,1,-1),-1))</f>
        <v>1</v>
      </c>
      <c r="W52" s="12">
        <v>8192</v>
      </c>
      <c r="X52" s="36">
        <f>8*2^(5+L52)</f>
        <v>8192</v>
      </c>
      <c r="Y52" s="24">
        <f>IF(W52="",0,IF(ABS(W52-X52)&lt;=1,1,-1))</f>
        <v>1</v>
      </c>
      <c r="Z52" s="12" t="s">
        <v>766</v>
      </c>
      <c r="AA52" s="26">
        <f>10*LOG10(10^((60+L52-39.4)/10)+10^((63+L52-26.2)/10)+10^((66+L52-16.1)/10)+10^((69+L52-8.6)/10)+10^((72+L52-3.2)/10)+10^((75+L52)/10)+10^((78+L52+1.2)/10)+10^((81+L52+1)/10)+10^((84+L52-1.1)/10)+10^((87+L52-6.6)/10))</f>
        <v>92.684202566927439</v>
      </c>
      <c r="AB52" s="24">
        <f>IF(Z52="",0,IF(EXACT(RIGHT(Z52,5),"dB(A)"),IF(ABS(VALUE(LEFT(Z52,FIND(" ",Z52,1)))-AA52)&lt;=0.2,1,-1),-1))</f>
        <v>1</v>
      </c>
      <c r="AC52" s="12" t="s">
        <v>767</v>
      </c>
      <c r="AD52" s="26">
        <f>10*LOG10((10^((60+L52)/10)*(1+J52)+10^((65+K52)/10)*(2+I52/3))/(1+J52+2+I52/3))</f>
        <v>69.946873048944042</v>
      </c>
      <c r="AE52" s="24">
        <f>IF(AC52="",0,IF(EXACT(RIGHT(AC52,5),"dB(A)"),IF(ABS(VALUE(LEFT(AC52,FIND(" ",AC52,1)))-AD52)&lt;=0.5,1,-1),-1))</f>
        <v>1</v>
      </c>
      <c r="AF52" s="12" t="s">
        <v>768</v>
      </c>
      <c r="AG52" s="26">
        <f>90+K52+10*LOG10(4/(0.16*(300+J52*20)/(1+L52/10)))+3</f>
        <v>91.425523506854631</v>
      </c>
      <c r="AH52" s="24">
        <f>IF(AF52="",0,IF(EXACT(RIGHT(AF52,2),"dB"),IF(ABS(VALUE(LEFT(AF52,FIND(" ",AF52,1)))-AG52)&lt;=0.5,1,-1),-1))</f>
        <v>1</v>
      </c>
      <c r="AI52" s="12" t="s">
        <v>769</v>
      </c>
      <c r="AJ52" s="26">
        <f>10*LOG10(3+40*(2*SQRT(((10+K52)/2)^2+(3+L52/10)^2)-(10+K52))*100*(1+J52)/340)</f>
        <v>16.932740855243452</v>
      </c>
      <c r="AK52" s="24">
        <f>IF(AI52="",0,IF(EXACT(RIGHT(AI52,2),"dB"),IF(ABS(VALUE(LEFT(AI52,FIND(" ",AI52,1)))-AJ52)&lt;=0.5,1,-1),-1))</f>
        <v>-1</v>
      </c>
      <c r="AL52" s="12" t="s">
        <v>770</v>
      </c>
      <c r="AM52" s="26">
        <f>80+L52-(80+K52)</f>
        <v>-3</v>
      </c>
      <c r="AN52" s="24">
        <f>IF(AL52="",0,IF(EXACT(RIGHT(AL52,2),"dB"),IF(ABS(VALUE(LEFT(AL52,FIND(" ",AL52,1)))-AM52)&lt;=0.5,1,-1),-1))</f>
        <v>1</v>
      </c>
      <c r="AO52" s="12" t="s">
        <v>771</v>
      </c>
      <c r="AP52" s="30">
        <f>((2^(5+L52))/2+1)/48</f>
        <v>10.6875</v>
      </c>
      <c r="AQ52" s="24">
        <f>IF(AO52="",0,IF(EXACT(RIGHT(AO52,2),"ms"),IF(ABS(VALUE(LEFT(AO52,FIND(" ",AO52,1)))-AP52)/AP52&lt;=0.02,1,-1),-1))</f>
        <v>1</v>
      </c>
      <c r="AR52" s="39">
        <f>M52+P52+S52+V52+Y52+AB52+AE52+AH52+AK52+AN52+AQ52</f>
        <v>10</v>
      </c>
    </row>
    <row r="53" spans="1:44" ht="13.2">
      <c r="A53" s="41">
        <v>51</v>
      </c>
      <c r="B53" s="42">
        <v>41992.766715497688</v>
      </c>
      <c r="C53" s="12" t="s">
        <v>815</v>
      </c>
      <c r="D53" s="12" t="s">
        <v>816</v>
      </c>
      <c r="E53" s="12">
        <v>239776</v>
      </c>
      <c r="F53" s="23">
        <v>1</v>
      </c>
      <c r="G53" s="23">
        <f>INT(E53/100000)</f>
        <v>2</v>
      </c>
      <c r="H53" s="23">
        <f>INT(($E53-100000*G53)/10000)</f>
        <v>3</v>
      </c>
      <c r="I53" s="23">
        <f>INT(($E53-100000*G53-10000*H53)/1000)</f>
        <v>9</v>
      </c>
      <c r="J53" s="23">
        <f>INT(($E53-100000*$G53-10000*$H53-1000*$I53)/100)</f>
        <v>7</v>
      </c>
      <c r="K53" s="23">
        <f>INT(($E53-100000*$G53-10000*$H53-1000*$I53-100*$J53)/10)</f>
        <v>7</v>
      </c>
      <c r="L53" s="23">
        <f>INT(($E53-100000*$G53-10000*$H53-1000*$I53-100*$J53-10*$K53))</f>
        <v>6</v>
      </c>
      <c r="M53" s="24">
        <v>2</v>
      </c>
      <c r="N53" s="12" t="s">
        <v>817</v>
      </c>
      <c r="O53" s="26">
        <f>65+K53+10*LOG10(70+L53)+10*LOG10(100/(100+J53*20))</f>
        <v>87.006023505691843</v>
      </c>
      <c r="P53" s="24">
        <f>IF(N53="",0,IF(EXACT(RIGHT(N53,5),"dB(A)"),IF(ABS(VALUE(LEFT(N53,FIND(" ",N53,1)))-O53)&lt;=0.5,1,-1),-1))</f>
        <v>1</v>
      </c>
      <c r="Q53" s="12" t="s">
        <v>818</v>
      </c>
      <c r="R53" s="26">
        <f>10*LOG10(10^((80+G53)/10)*(10+L53)*1000/16/3600+10^((85+H53)/10)*(10+K53)*3000/16/3600+10^((90+J53)/10)*(10+J53)*100/16/3600)</f>
        <v>88.754113390195371</v>
      </c>
      <c r="S53" s="24">
        <f>IF(Q53="",0,IF(EXACT(RIGHT(Q53,5),"dB(A)"),IF(ABS(VALUE(LEFT(Q53,FIND(" ",Q53,1)))-R53)&lt;=0.5,1,-1),-1))</f>
        <v>1</v>
      </c>
      <c r="T53" s="12" t="s">
        <v>819</v>
      </c>
      <c r="U53" s="30">
        <f>4*(500+K53*10+L53)/(400+J53*10)/340*SQRT(8192/4/0.1)</f>
        <v>2.0633394223417336</v>
      </c>
      <c r="V53" s="24">
        <f>IF(T53="",0,IF(EXACT(RIGHT(T53,2)," s"),IF(ABS(VALUE(LEFT(T53,FIND(" ",T53,1)))-U53)&lt;=0.005,1,-1),-1))</f>
        <v>1</v>
      </c>
      <c r="W53" s="12">
        <v>16384</v>
      </c>
      <c r="X53" s="36">
        <f>8*2^(5+L53)</f>
        <v>16384</v>
      </c>
      <c r="Y53" s="24">
        <f>IF(W53="",0,IF(ABS(W53-X53)&lt;=1,1,-1))</f>
        <v>1</v>
      </c>
      <c r="Z53" s="12" t="s">
        <v>820</v>
      </c>
      <c r="AA53" s="26">
        <f>10*LOG10(10^((60+L53-39.4)/10)+10^((63+L53-26.2)/10)+10^((66+L53-16.1)/10)+10^((69+L53-8.6)/10)+10^((72+L53-3.2)/10)+10^((75+L53)/10)+10^((78+L53+1.2)/10)+10^((81+L53+1)/10)+10^((84+L53-1.1)/10)+10^((87+L53-6.6)/10))</f>
        <v>93.684202566927453</v>
      </c>
      <c r="AB53" s="24">
        <f>IF(Z53="",0,IF(EXACT(RIGHT(Z53,5),"dB(A)"),IF(ABS(VALUE(LEFT(Z53,FIND(" ",Z53,1)))-AA53)&lt;=0.2,1,-1),-1))</f>
        <v>1</v>
      </c>
      <c r="AC53" s="12" t="s">
        <v>821</v>
      </c>
      <c r="AD53" s="26">
        <f>10*LOG10((10^((60+L53)/10)*(1+J53)+10^((65+K53)/10)*(2+I53/3))/(1+J53+2+I53/3))</f>
        <v>69.317442543914098</v>
      </c>
      <c r="AE53" s="24">
        <f>IF(AC53="",0,IF(EXACT(RIGHT(AC53,5),"dB(A)"),IF(ABS(VALUE(LEFT(AC53,FIND(" ",AC53,1)))-AD53)&lt;=0.5,1,-1),-1))</f>
        <v>1</v>
      </c>
      <c r="AF53" s="12" t="s">
        <v>822</v>
      </c>
      <c r="AG53" s="26">
        <f>90+K53+10*LOG10(4/(0.16*(300+J53*20)/(1+L53/10)))+3</f>
        <v>89.586073148417753</v>
      </c>
      <c r="AH53" s="24">
        <f>IF(AF53="",0,IF(EXACT(RIGHT(AF53,2),"dB"),IF(ABS(VALUE(LEFT(AF53,FIND(" ",AF53,1)))-AG53)&lt;=0.5,1,-1),-1))</f>
        <v>1</v>
      </c>
      <c r="AI53" s="12" t="s">
        <v>823</v>
      </c>
      <c r="AJ53" s="26">
        <f>10*LOG10(3+40*(2*SQRT(((10+K53)/2)^2+(3+L53/10)^2)-(10+K53))*100*(1+J53)/340)</f>
        <v>21.479424557070459</v>
      </c>
      <c r="AK53" s="24">
        <f>IF(AI53="",0,IF(EXACT(RIGHT(AI53,2),"dB"),IF(ABS(VALUE(LEFT(AI53,FIND(" ",AI53,1)))-AJ53)&lt;=0.5,1,-1),-1))</f>
        <v>1</v>
      </c>
      <c r="AL53" s="12" t="s">
        <v>824</v>
      </c>
      <c r="AM53" s="26">
        <f>80+L53-(80+K53)</f>
        <v>-1</v>
      </c>
      <c r="AN53" s="24">
        <f>IF(AL53="",0,IF(EXACT(RIGHT(AL53,2),"dB"),IF(ABS(VALUE(LEFT(AL53,FIND(" ",AL53,1)))-AM53)&lt;=0.5,1,-1),-1))</f>
        <v>1</v>
      </c>
      <c r="AO53" s="12" t="s">
        <v>825</v>
      </c>
      <c r="AP53" s="30">
        <f>((2^(5+L53))/2+1)/48</f>
        <v>21.354166666666668</v>
      </c>
      <c r="AQ53" s="24">
        <f>IF(AO53="",0,IF(EXACT(RIGHT(AO53,2),"ms"),IF(ABS(VALUE(LEFT(AO53,FIND(" ",AO53,1)))-AP53)/AP53&lt;=0.02,1,-1),-1))</f>
        <v>-1</v>
      </c>
      <c r="AR53" s="39">
        <f>M53+P53+S53+V53+Y53+AB53+AE53+AH53+AK53+AN53+AQ53</f>
        <v>10</v>
      </c>
    </row>
    <row r="54" spans="1:44" ht="13.2">
      <c r="A54" s="41">
        <v>52</v>
      </c>
      <c r="B54" s="42">
        <v>41992.766437685183</v>
      </c>
      <c r="C54" s="12" t="s">
        <v>982</v>
      </c>
      <c r="D54" s="12" t="s">
        <v>983</v>
      </c>
      <c r="E54" s="12">
        <v>240287</v>
      </c>
      <c r="F54" s="23">
        <v>1</v>
      </c>
      <c r="G54" s="23">
        <f>INT(E54/100000)</f>
        <v>2</v>
      </c>
      <c r="H54" s="23">
        <f>INT(($E54-100000*G54)/10000)</f>
        <v>4</v>
      </c>
      <c r="I54" s="23">
        <f>INT(($E54-100000*G54-10000*H54)/1000)</f>
        <v>0</v>
      </c>
      <c r="J54" s="23">
        <f>INT(($E54-100000*$G54-10000*$H54-1000*$I54)/100)</f>
        <v>2</v>
      </c>
      <c r="K54" s="23">
        <f>INT(($E54-100000*$G54-10000*$H54-1000*$I54-100*$J54)/10)</f>
        <v>8</v>
      </c>
      <c r="L54" s="23">
        <f>INT(($E54-100000*$G54-10000*$H54-1000*$I54-100*$J54-10*$K54))</f>
        <v>7</v>
      </c>
      <c r="M54" s="24">
        <v>2</v>
      </c>
      <c r="N54" s="12" t="s">
        <v>984</v>
      </c>
      <c r="O54" s="26">
        <f>65+K54+10*LOG10(70+L54)+10*LOG10(100/(100+J54*20))</f>
        <v>90.403626894942434</v>
      </c>
      <c r="P54" s="24">
        <f>IF(N54="",0,IF(EXACT(RIGHT(N54,5),"dB(A)"),IF(ABS(VALUE(LEFT(N54,FIND(" ",N54,1)))-O54)&lt;=0.5,1,-1),-1))</f>
        <v>1</v>
      </c>
      <c r="Q54" s="12" t="s">
        <v>985</v>
      </c>
      <c r="R54" s="26">
        <f>10*LOG10(10^((80+G54)/10)*(10+L54)*1000/16/3600+10^((85+H54)/10)*(10+K54)*3000/16/3600+10^((90+J54)/10)*(10+J54)*100/16/3600)</f>
        <v>89.161789082254771</v>
      </c>
      <c r="S54" s="24">
        <f>IF(Q54="",0,IF(EXACT(RIGHT(Q54,5),"dB(A)"),IF(ABS(VALUE(LEFT(Q54,FIND(" ",Q54,1)))-R54)&lt;=0.5,1,-1),-1))</f>
        <v>1</v>
      </c>
      <c r="T54" s="12" t="s">
        <v>986</v>
      </c>
      <c r="U54" s="30">
        <f>4*(500+K54*10+L54)/(400+J54*10)/340*SQRT(8192/4/0.1)</f>
        <v>2.3530700778350728</v>
      </c>
      <c r="V54" s="24">
        <f>IF(T54="",0,IF(EXACT(RIGHT(T54,2)," s"),IF(ABS(VALUE(LEFT(T54,FIND(" ",T54,1)))-U54)&lt;=0.005,1,-1),-1))</f>
        <v>1</v>
      </c>
      <c r="W54" s="12">
        <v>32768</v>
      </c>
      <c r="X54" s="36">
        <f>8*2^(5+L54)</f>
        <v>32768</v>
      </c>
      <c r="Y54" s="24">
        <f>IF(W54="",0,IF(ABS(W54-X54)&lt;=1,1,-1))</f>
        <v>1</v>
      </c>
      <c r="Z54" s="12" t="s">
        <v>987</v>
      </c>
      <c r="AA54" s="26">
        <f>10*LOG10(10^((60+L54-39.4)/10)+10^((63+L54-26.2)/10)+10^((66+L54-16.1)/10)+10^((69+L54-8.6)/10)+10^((72+L54-3.2)/10)+10^((75+L54)/10)+10^((78+L54+1.2)/10)+10^((81+L54+1)/10)+10^((84+L54-1.1)/10)+10^((87+L54-6.6)/10))</f>
        <v>94.684202566927453</v>
      </c>
      <c r="AB54" s="24">
        <f>IF(Z54="",0,IF(EXACT(RIGHT(Z54,5),"dB(A)"),IF(ABS(VALUE(LEFT(Z54,FIND(" ",Z54,1)))-AA54)&lt;=0.2,1,-1),-1))</f>
        <v>1</v>
      </c>
      <c r="AC54" s="12" t="s">
        <v>988</v>
      </c>
      <c r="AD54" s="26">
        <f>10*LOG10((10^((60+L54)/10)*(1+J54)+10^((65+K54)/10)*(2+I54/3))/(1+J54+2+I54/3))</f>
        <v>70.409254750484862</v>
      </c>
      <c r="AE54" s="24">
        <f>IF(AC54="",0,IF(EXACT(RIGHT(AC54,5),"dB(A)"),IF(ABS(VALUE(LEFT(AC54,FIND(" ",AC54,1)))-AD54)&lt;=0.5,1,-1),-1))</f>
        <v>1</v>
      </c>
      <c r="AF54" s="12" t="s">
        <v>989</v>
      </c>
      <c r="AG54" s="26">
        <f>90+K54+10*LOG10(4/(0.16*(300+J54*20)/(1+L54/10)))+3</f>
        <v>91.969100130080562</v>
      </c>
      <c r="AH54" s="24">
        <f>IF(AF54="",0,IF(EXACT(RIGHT(AF54,2),"dB"),IF(ABS(VALUE(LEFT(AF54,FIND(" ",AF54,1)))-AG54)&lt;=0.5,1,-1),-1))</f>
        <v>1</v>
      </c>
      <c r="AI54" s="12" t="s">
        <v>990</v>
      </c>
      <c r="AJ54" s="26">
        <f>10*LOG10(3+40*(2*SQRT(((10+K54)/2)^2+(3+L54/10)^2)-(10+K54))*100*(1+J54)/340)</f>
        <v>17.371245235456001</v>
      </c>
      <c r="AK54" s="24">
        <f>IF(AI54="",0,IF(EXACT(RIGHT(AI54,2),"dB"),IF(ABS(VALUE(LEFT(AI54,FIND(" ",AI54,1)))-AJ54)&lt;=0.5,1,-1),-1))</f>
        <v>-1</v>
      </c>
      <c r="AL54" s="12" t="s">
        <v>991</v>
      </c>
      <c r="AM54" s="26">
        <f>80+L54-(80+K54)</f>
        <v>-1</v>
      </c>
      <c r="AN54" s="24">
        <f>IF(AL54="",0,IF(EXACT(RIGHT(AL54,2),"dB"),IF(ABS(VALUE(LEFT(AL54,FIND(" ",AL54,1)))-AM54)&lt;=0.5,1,-1),-1))</f>
        <v>1</v>
      </c>
      <c r="AO54" s="12" t="s">
        <v>992</v>
      </c>
      <c r="AP54" s="30">
        <f>((2^(5+L54))/2+1)/48</f>
        <v>42.6875</v>
      </c>
      <c r="AQ54" s="24">
        <f>IF(AO54="",0,IF(EXACT(RIGHT(AO54,2),"ms"),IF(ABS(VALUE(LEFT(AO54,FIND(" ",AO54,1)))-AP54)/AP54&lt;=0.02,1,-1),-1))</f>
        <v>1</v>
      </c>
      <c r="AR54" s="39">
        <f>M54+P54+S54+V54+Y54+AB54+AE54+AH54+AK54+AN54+AQ54</f>
        <v>10</v>
      </c>
    </row>
    <row r="55" spans="1:44" ht="13.2">
      <c r="A55" s="41">
        <v>53</v>
      </c>
      <c r="B55" s="42">
        <v>41992.766828587955</v>
      </c>
      <c r="C55" s="12" t="s">
        <v>1057</v>
      </c>
      <c r="D55" s="12" t="s">
        <v>1058</v>
      </c>
      <c r="E55" s="12">
        <v>240053</v>
      </c>
      <c r="F55" s="23">
        <v>1</v>
      </c>
      <c r="G55" s="23">
        <f>INT(E55/100000)</f>
        <v>2</v>
      </c>
      <c r="H55" s="23">
        <f>INT(($E55-100000*G55)/10000)</f>
        <v>4</v>
      </c>
      <c r="I55" s="23">
        <f>INT(($E55-100000*G55-10000*H55)/1000)</f>
        <v>0</v>
      </c>
      <c r="J55" s="23">
        <f>INT(($E55-100000*$G55-10000*$H55-1000*$I55)/100)</f>
        <v>0</v>
      </c>
      <c r="K55" s="23">
        <f>INT(($E55-100000*$G55-10000*$H55-1000*$I55-100*$J55)/10)</f>
        <v>5</v>
      </c>
      <c r="L55" s="23">
        <f>INT(($E55-100000*$G55-10000*$H55-1000*$I55-100*$J55-10*$K55))</f>
        <v>3</v>
      </c>
      <c r="M55" s="24">
        <v>2</v>
      </c>
      <c r="N55" s="12" t="s">
        <v>1059</v>
      </c>
      <c r="O55" s="26">
        <f>65+K55+10*LOG10(70+L55)+10*LOG10(100/(100+J55*20))</f>
        <v>88.633228601204564</v>
      </c>
      <c r="P55" s="24">
        <f>IF(N55="",0,IF(EXACT(RIGHT(N55,5),"dB(A)"),IF(ABS(VALUE(LEFT(N55,FIND(" ",N55,1)))-O55)&lt;=0.5,1,-1),-1))</f>
        <v>1</v>
      </c>
      <c r="Q55" s="12" t="s">
        <v>1060</v>
      </c>
      <c r="R55" s="26">
        <f>10*LOG10(10^((80+G55)/10)*(10+L55)*1000/16/3600+10^((85+H55)/10)*(10+K55)*3000/16/3600+10^((90+J55)/10)*(10+J55)*100/16/3600)</f>
        <v>88.284666784384811</v>
      </c>
      <c r="S55" s="24">
        <f>IF(Q55="",0,IF(EXACT(RIGHT(Q55,5),"dB(A)"),IF(ABS(VALUE(LEFT(Q55,FIND(" ",Q55,1)))-R55)&lt;=0.5,1,-1),-1))</f>
        <v>1</v>
      </c>
      <c r="T55" s="12" t="s">
        <v>1061</v>
      </c>
      <c r="U55" s="30">
        <f>4*(500+K55*10+L55)/(400+J55*10)/340*SQRT(8192/4/0.1)</f>
        <v>2.3276152311668401</v>
      </c>
      <c r="V55" s="24">
        <f>IF(T55="",0,IF(EXACT(RIGHT(T55,2)," s"),IF(ABS(VALUE(LEFT(T55,FIND(" ",T55,1)))-U55)&lt;=0.005,1,-1),-1))</f>
        <v>1</v>
      </c>
      <c r="W55" s="12">
        <v>2048</v>
      </c>
      <c r="X55" s="36">
        <f>8*2^(5+L55)</f>
        <v>2048</v>
      </c>
      <c r="Y55" s="24">
        <f>IF(W55="",0,IF(ABS(W55-X55)&lt;=1,1,-1))</f>
        <v>1</v>
      </c>
      <c r="Z55" s="12" t="s">
        <v>1062</v>
      </c>
      <c r="AA55" s="26">
        <f>10*LOG10(10^((60+L55-39.4)/10)+10^((63+L55-26.2)/10)+10^((66+L55-16.1)/10)+10^((69+L55-8.6)/10)+10^((72+L55-3.2)/10)+10^((75+L55)/10)+10^((78+L55+1.2)/10)+10^((81+L55+1)/10)+10^((84+L55-1.1)/10)+10^((87+L55-6.6)/10))</f>
        <v>90.684202566927453</v>
      </c>
      <c r="AB55" s="24">
        <f>IF(Z55="",0,IF(EXACT(RIGHT(Z55,5),"dB(A)"),IF(ABS(VALUE(LEFT(Z55,FIND(" ",Z55,1)))-AA55)&lt;=0.2,1,-1),-1))</f>
        <v>1</v>
      </c>
      <c r="AC55" s="12" t="s">
        <v>1063</v>
      </c>
      <c r="AD55" s="26">
        <f>10*LOG10((10^((60+L55)/10)*(1+J55)+10^((65+K55)/10)*(2+I55/3))/(1+J55+2+I55/3))</f>
        <v>68.652078910096407</v>
      </c>
      <c r="AE55" s="24">
        <f>IF(AC55="",0,IF(EXACT(RIGHT(AC55,5),"dB(A)"),IF(ABS(VALUE(LEFT(AC55,FIND(" ",AC55,1)))-AD55)&lt;=0.5,1,-1),-1))</f>
        <v>1</v>
      </c>
      <c r="AF55" s="12" t="s">
        <v>1064</v>
      </c>
      <c r="AG55" s="26">
        <f>90+K55+10*LOG10(4/(0.16*(300+J55*20)/(1+L55/10)))+3</f>
        <v>88.347621062592125</v>
      </c>
      <c r="AH55" s="24">
        <f>IF(AF55="",0,IF(EXACT(RIGHT(AF55,2),"dB"),IF(ABS(VALUE(LEFT(AF55,FIND(" ",AF55,1)))-AG55)&lt;=0.5,1,-1),-1))</f>
        <v>1</v>
      </c>
      <c r="AI55" s="12" t="s">
        <v>1065</v>
      </c>
      <c r="AJ55" s="26">
        <f>10*LOG10(3+40*(2*SQRT(((10+K55)/2)^2+(3+L55/10)^2)-(10+K55))*100*(1+J55)/340)</f>
        <v>12.861658584819546</v>
      </c>
      <c r="AK55" s="24">
        <f>IF(AI55="",0,IF(EXACT(RIGHT(AI55,2),"dB"),IF(ABS(VALUE(LEFT(AI55,FIND(" ",AI55,1)))-AJ55)&lt;=0.5,1,-1),-1))</f>
        <v>1</v>
      </c>
      <c r="AL55" s="12" t="s">
        <v>1066</v>
      </c>
      <c r="AM55" s="26">
        <f>80+L55-(80+K55)</f>
        <v>-2</v>
      </c>
      <c r="AN55" s="24">
        <f>IF(AL55="",0,IF(EXACT(RIGHT(AL55,2),"dB"),IF(ABS(VALUE(LEFT(AL55,FIND(" ",AL55,1)))-AM55)&lt;=0.5,1,-1),-1))</f>
        <v>1</v>
      </c>
      <c r="AO55" s="12" t="s">
        <v>1067</v>
      </c>
      <c r="AP55" s="30">
        <f>((2^(5+L55))/2+1)/48</f>
        <v>2.6875</v>
      </c>
      <c r="AQ55" s="24">
        <f>IF(AO55="",0,IF(EXACT(RIGHT(AO55,2),"ms"),IF(ABS(VALUE(LEFT(AO55,FIND(" ",AO55,1)))-AP55)/AP55&lt;=0.02,1,-1),-1))</f>
        <v>-1</v>
      </c>
      <c r="AR55" s="39">
        <f>M55+P55+S55+V55+Y55+AB55+AE55+AH55+AK55+AN55+AQ55</f>
        <v>10</v>
      </c>
    </row>
    <row r="56" spans="1:44" ht="13.2">
      <c r="A56" s="41">
        <v>54</v>
      </c>
      <c r="B56" s="42">
        <v>41992.76695099537</v>
      </c>
      <c r="C56" s="12" t="s">
        <v>1068</v>
      </c>
      <c r="D56" s="46" t="s">
        <v>1546</v>
      </c>
      <c r="E56" s="46">
        <v>239617</v>
      </c>
      <c r="F56" s="23">
        <v>1</v>
      </c>
      <c r="G56" s="23">
        <f>INT(E56/100000)</f>
        <v>2</v>
      </c>
      <c r="H56" s="23">
        <f>INT(($E56-100000*G56)/10000)</f>
        <v>3</v>
      </c>
      <c r="I56" s="23">
        <f>INT(($E56-100000*G56-10000*H56)/1000)</f>
        <v>9</v>
      </c>
      <c r="J56" s="23">
        <f>INT(($E56-100000*$G56-10000*$H56-1000*$I56)/100)</f>
        <v>6</v>
      </c>
      <c r="K56" s="23">
        <f>INT(($E56-100000*$G56-10000*$H56-1000*$I56-100*$J56)/10)</f>
        <v>1</v>
      </c>
      <c r="L56" s="23">
        <f>INT(($E56-100000*$G56-10000*$H56-1000*$I56-100*$J56-10*$K56))</f>
        <v>7</v>
      </c>
      <c r="M56" s="24">
        <v>0</v>
      </c>
      <c r="N56" s="12" t="s">
        <v>1069</v>
      </c>
      <c r="O56" s="26">
        <f>65+K56+10*LOG10(70+L56)+10*LOG10(100/(100+J56*20))</f>
        <v>81.440680443502757</v>
      </c>
      <c r="P56" s="24">
        <f>IF(N56="",0,IF(EXACT(RIGHT(N56,5),"dB(A)"),IF(ABS(VALUE(LEFT(N56,FIND(" ",N56,1)))-O56)&lt;=0.5,1,-1),-1))</f>
        <v>1</v>
      </c>
      <c r="Q56" s="12" t="s">
        <v>1070</v>
      </c>
      <c r="R56" s="26">
        <f>10*LOG10(10^((80+G56)/10)*(10+L56)*1000/16/3600+10^((85+H56)/10)*(10+K56)*3000/16/3600+10^((90+J56)/10)*(10+J56)*100/16/3600)</f>
        <v>87.150398668829808</v>
      </c>
      <c r="S56" s="24">
        <f>IF(Q56="",0,IF(EXACT(RIGHT(Q56,5),"dB(A)"),IF(ABS(VALUE(LEFT(Q56,FIND(" ",Q56,1)))-R56)&lt;=0.5,1,-1),-1))</f>
        <v>1</v>
      </c>
      <c r="T56" s="12" t="s">
        <v>1071</v>
      </c>
      <c r="U56" s="30">
        <f>4*(500+K56*10+L56)/(400+J56*10)/340*SQRT(8192/4/0.1)</f>
        <v>1.8922510802944514</v>
      </c>
      <c r="V56" s="24">
        <f>IF(T56="",0,IF(EXACT(RIGHT(T56,2)," s"),IF(ABS(VALUE(LEFT(T56,FIND(" ",T56,1)))-U56)&lt;=0.005,1,-1),-1))</f>
        <v>1</v>
      </c>
      <c r="W56" s="12">
        <v>32768</v>
      </c>
      <c r="X56" s="36">
        <f>8*2^(5+L56)</f>
        <v>32768</v>
      </c>
      <c r="Y56" s="24">
        <f>IF(W56="",0,IF(ABS(W56-X56)&lt;=1,1,-1))</f>
        <v>1</v>
      </c>
      <c r="Z56" s="12" t="s">
        <v>1072</v>
      </c>
      <c r="AA56" s="26">
        <f>10*LOG10(10^((60+L56-39.4)/10)+10^((63+L56-26.2)/10)+10^((66+L56-16.1)/10)+10^((69+L56-8.6)/10)+10^((72+L56-3.2)/10)+10^((75+L56)/10)+10^((78+L56+1.2)/10)+10^((81+L56+1)/10)+10^((84+L56-1.1)/10)+10^((87+L56-6.6)/10))</f>
        <v>94.684202566927453</v>
      </c>
      <c r="AB56" s="24">
        <f>IF(Z56="",0,IF(EXACT(RIGHT(Z56,5),"dB(A)"),IF(ABS(VALUE(LEFT(Z56,FIND(" ",Z56,1)))-AA56)&lt;=0.2,1,-1),-1))</f>
        <v>1</v>
      </c>
      <c r="AC56" s="12" t="s">
        <v>1073</v>
      </c>
      <c r="AD56" s="26">
        <f>10*LOG10((10^((60+L56)/10)*(1+J56)+10^((65+K56)/10)*(2+I56/3))/(1+J56+2+I56/3))</f>
        <v>66.610903495614565</v>
      </c>
      <c r="AE56" s="24">
        <f>IF(AC56="",0,IF(EXACT(RIGHT(AC56,5),"dB(A)"),IF(ABS(VALUE(LEFT(AC56,FIND(" ",AC56,1)))-AD56)&lt;=0.5,1,-1),-1))</f>
        <v>1</v>
      </c>
      <c r="AF56" s="12" t="s">
        <v>1074</v>
      </c>
      <c r="AG56" s="26">
        <f>90+K56+10*LOG10(4/(0.16*(300+J56*20)/(1+L56/10)))+3</f>
        <v>84.051396396524112</v>
      </c>
      <c r="AH56" s="24">
        <f>IF(AF56="",0,IF(EXACT(RIGHT(AF56,2),"dB"),IF(ABS(VALUE(LEFT(AF56,FIND(" ",AF56,1)))-AG56)&lt;=0.5,1,-1),-1))</f>
        <v>1</v>
      </c>
      <c r="AI56" s="12" t="s">
        <v>1075</v>
      </c>
      <c r="AJ56" s="26">
        <f>10*LOG10(3+40*(2*SQRT(((10+K56)/2)^2+(3+L56/10)^2)-(10+K56))*100*(1+J56)/340)</f>
        <v>22.762496779163016</v>
      </c>
      <c r="AK56" s="24">
        <f>IF(AI56="",0,IF(EXACT(RIGHT(AI56,2),"dB"),IF(ABS(VALUE(LEFT(AI56,FIND(" ",AI56,1)))-AJ56)&lt;=0.5,1,-1),-1))</f>
        <v>1</v>
      </c>
      <c r="AL56" s="12" t="s">
        <v>1076</v>
      </c>
      <c r="AM56" s="26">
        <f>80+L56-(80+K56)</f>
        <v>6</v>
      </c>
      <c r="AN56" s="24">
        <f>IF(AL56="",0,IF(EXACT(RIGHT(AL56,2),"dB"),IF(ABS(VALUE(LEFT(AL56,FIND(" ",AL56,1)))-AM56)&lt;=0.5,1,-1),-1))</f>
        <v>1</v>
      </c>
      <c r="AO56" s="12" t="s">
        <v>1077</v>
      </c>
      <c r="AP56" s="30">
        <f>((2^(5+L56))/2+1)/48</f>
        <v>42.6875</v>
      </c>
      <c r="AQ56" s="24">
        <f>IF(AO56="",0,IF(EXACT(RIGHT(AO56,2),"ms"),IF(ABS(VALUE(LEFT(AO56,FIND(" ",AO56,1)))-AP56)/AP56&lt;=0.02,1,-1),-1))</f>
        <v>1</v>
      </c>
      <c r="AR56" s="39">
        <f>M56+P56+S56+V56+Y56+AB56+AE56+AH56+AK56+AN56+AQ56</f>
        <v>10</v>
      </c>
    </row>
    <row r="57" spans="1:44" ht="13.2">
      <c r="A57" s="41">
        <v>55</v>
      </c>
      <c r="B57" s="42">
        <v>41992.767607858797</v>
      </c>
      <c r="C57" s="12" t="s">
        <v>1178</v>
      </c>
      <c r="D57" s="12" t="s">
        <v>1179</v>
      </c>
      <c r="E57" s="12">
        <v>243620</v>
      </c>
      <c r="F57" s="23">
        <v>1</v>
      </c>
      <c r="G57" s="23">
        <f>INT(E57/100000)</f>
        <v>2</v>
      </c>
      <c r="H57" s="23">
        <f>INT(($E57-100000*G57)/10000)</f>
        <v>4</v>
      </c>
      <c r="I57" s="23">
        <f>INT(($E57-100000*G57-10000*H57)/1000)</f>
        <v>3</v>
      </c>
      <c r="J57" s="23">
        <f>INT(($E57-100000*$G57-10000*$H57-1000*$I57)/100)</f>
        <v>6</v>
      </c>
      <c r="K57" s="23">
        <f>INT(($E57-100000*$G57-10000*$H57-1000*$I57-100*$J57)/10)</f>
        <v>2</v>
      </c>
      <c r="L57" s="23">
        <f>INT(($E57-100000*$G57-10000*$H57-1000*$I57-100*$J57-10*$K57))</f>
        <v>0</v>
      </c>
      <c r="M57" s="24">
        <v>2</v>
      </c>
      <c r="N57" s="12" t="s">
        <v>1180</v>
      </c>
      <c r="O57" s="26">
        <f>65+K57+10*LOG10(70+L57)+10*LOG10(100/(100+J57*20))</f>
        <v>82.02675359192051</v>
      </c>
      <c r="P57" s="24">
        <f>IF(N57="",0,IF(EXACT(RIGHT(N57,5),"dB(A)"),IF(ABS(VALUE(LEFT(N57,FIND(" ",N57,1)))-O57)&lt;=0.5,1,-1),-1))</f>
        <v>1</v>
      </c>
      <c r="Q57" s="12" t="s">
        <v>1181</v>
      </c>
      <c r="R57" s="26">
        <f>10*LOG10(10^((80+G57)/10)*(10+L57)*1000/16/3600+10^((85+H57)/10)*(10+K57)*3000/16/3600+10^((90+J57)/10)*(10+J57)*100/16/3600)</f>
        <v>88.024699403079737</v>
      </c>
      <c r="S57" s="24">
        <f>IF(Q57="",0,IF(EXACT(RIGHT(Q57,5),"dB(A)"),IF(ABS(VALUE(LEFT(Q57,FIND(" ",Q57,1)))-R57)&lt;=0.5,1,-1),-1))</f>
        <v>1</v>
      </c>
      <c r="T57" s="12" t="s">
        <v>1182</v>
      </c>
      <c r="U57" s="30">
        <f>4*(500+K57*10+L57)/(400+J57*10)/340*SQRT(8192/4/0.1)</f>
        <v>1.9032312606443222</v>
      </c>
      <c r="V57" s="24">
        <f>IF(T57="",0,IF(EXACT(RIGHT(T57,2)," s"),IF(ABS(VALUE(LEFT(T57,FIND(" ",T57,1)))-U57)&lt;=0.005,1,-1),-1))</f>
        <v>1</v>
      </c>
      <c r="W57" s="12">
        <v>256</v>
      </c>
      <c r="X57" s="36">
        <f>8*2^(5+L57)</f>
        <v>256</v>
      </c>
      <c r="Y57" s="24">
        <f>IF(W57="",0,IF(ABS(W57-X57)&lt;=1,1,-1))</f>
        <v>1</v>
      </c>
      <c r="Z57" s="12" t="s">
        <v>1183</v>
      </c>
      <c r="AA57" s="26">
        <f>10*LOG10(10^((60+L57-39.4)/10)+10^((63+L57-26.2)/10)+10^((66+L57-16.1)/10)+10^((69+L57-8.6)/10)+10^((72+L57-3.2)/10)+10^((75+L57)/10)+10^((78+L57+1.2)/10)+10^((81+L57+1)/10)+10^((84+L57-1.1)/10)+10^((87+L57-6.6)/10))</f>
        <v>87.684202566927468</v>
      </c>
      <c r="AB57" s="24">
        <f>IF(Z57="",0,IF(EXACT(RIGHT(Z57,5),"dB(A)"),IF(ABS(VALUE(LEFT(Z57,FIND(" ",Z57,1)))-AA57)&lt;=0.2,1,-1),-1))</f>
        <v>1</v>
      </c>
      <c r="AC57" s="12" t="s">
        <v>1184</v>
      </c>
      <c r="AD57" s="26">
        <f>10*LOG10((10^((60+L57)/10)*(1+J57)+10^((65+K57)/10)*(2+I57/3))/(1+J57+2+I57/3))</f>
        <v>63.43125215489161</v>
      </c>
      <c r="AE57" s="24">
        <f>IF(AC57="",0,IF(EXACT(RIGHT(AC57,5),"dB(A)"),IF(ABS(VALUE(LEFT(AC57,FIND(" ",AC57,1)))-AD57)&lt;=0.5,1,-1),-1))</f>
        <v>1</v>
      </c>
      <c r="AF57" s="12" t="s">
        <v>1185</v>
      </c>
      <c r="AG57" s="26">
        <f>90+K57+10*LOG10(4/(0.16*(300+J57*20)/(1+L57/10)))+3</f>
        <v>82.746907182741367</v>
      </c>
      <c r="AH57" s="24">
        <f>IF(AF57="",0,IF(EXACT(RIGHT(AF57,2),"dB"),IF(ABS(VALUE(LEFT(AF57,FIND(" ",AF57,1)))-AG57)&lt;=0.5,1,-1),-1))</f>
        <v>1</v>
      </c>
      <c r="AI57" s="12" t="s">
        <v>1186</v>
      </c>
      <c r="AJ57" s="26">
        <f>10*LOG10(3+40*(2*SQRT(((10+K57)/2)^2+(3+L57/10)^2)-(10+K57))*100*(1+J57)/340)</f>
        <v>20.77895837506771</v>
      </c>
      <c r="AK57" s="24">
        <f>IF(AI57="",0,IF(EXACT(RIGHT(AI57,2),"dB"),IF(ABS(VALUE(LEFT(AI57,FIND(" ",AI57,1)))-AJ57)&lt;=0.5,1,-1),-1))</f>
        <v>1</v>
      </c>
      <c r="AL57" s="12" t="s">
        <v>1187</v>
      </c>
      <c r="AM57" s="26">
        <f>80+L57-(80+K57)</f>
        <v>-2</v>
      </c>
      <c r="AN57" s="24">
        <f>IF(AL57="",0,IF(EXACT(RIGHT(AL57,2),"dB"),IF(ABS(VALUE(LEFT(AL57,FIND(" ",AL57,1)))-AM57)&lt;=0.5,1,-1),-1))</f>
        <v>1</v>
      </c>
      <c r="AO57" s="12" t="s">
        <v>1188</v>
      </c>
      <c r="AP57" s="30">
        <f>((2^(5+L57))/2+1)/48</f>
        <v>0.35416666666666669</v>
      </c>
      <c r="AQ57" s="24">
        <f>IF(AO57="",0,IF(EXACT(RIGHT(AO57,2),"ms"),IF(ABS(VALUE(LEFT(AO57,FIND(" ",AO57,1)))-AP57)/AP57&lt;=0.02,1,-1),-1))</f>
        <v>-1</v>
      </c>
      <c r="AR57" s="39">
        <f>M57+P57+S57+V57+Y57+AB57+AE57+AH57+AK57+AN57+AQ57</f>
        <v>10</v>
      </c>
    </row>
    <row r="58" spans="1:44" ht="13.2">
      <c r="A58" s="41">
        <v>56</v>
      </c>
      <c r="B58" s="42">
        <v>41992.767738206014</v>
      </c>
      <c r="C58" s="12" t="s">
        <v>1200</v>
      </c>
      <c r="D58" s="12" t="s">
        <v>1201</v>
      </c>
      <c r="E58" s="12">
        <v>258711</v>
      </c>
      <c r="F58" s="23">
        <v>1</v>
      </c>
      <c r="G58" s="23">
        <f>INT(E58/100000)</f>
        <v>2</v>
      </c>
      <c r="H58" s="23">
        <f>INT(($E58-100000*G58)/10000)</f>
        <v>5</v>
      </c>
      <c r="I58" s="23">
        <f>INT(($E58-100000*G58-10000*H58)/1000)</f>
        <v>8</v>
      </c>
      <c r="J58" s="23">
        <f>INT(($E58-100000*$G58-10000*$H58-1000*$I58)/100)</f>
        <v>7</v>
      </c>
      <c r="K58" s="23">
        <f>INT(($E58-100000*$G58-10000*$H58-1000*$I58-100*$J58)/10)</f>
        <v>1</v>
      </c>
      <c r="L58" s="23">
        <f>INT(($E58-100000*$G58-10000*$H58-1000*$I58-100*$J58-10*$K58))</f>
        <v>1</v>
      </c>
      <c r="M58" s="24">
        <v>2</v>
      </c>
      <c r="N58" s="12" t="s">
        <v>1202</v>
      </c>
      <c r="O58" s="26">
        <f>65+K58+10*LOG10(70+L58)+10*LOG10(100/(100+J58*20))</f>
        <v>80.710471070074689</v>
      </c>
      <c r="P58" s="24">
        <f>IF(N58="",0,IF(EXACT(RIGHT(N58,5),"dB(A)"),IF(ABS(VALUE(LEFT(N58,FIND(" ",N58,1)))-O58)&lt;=0.5,1,-1),-1))</f>
        <v>1</v>
      </c>
      <c r="Q58" s="12" t="s">
        <v>1203</v>
      </c>
      <c r="R58" s="26">
        <f>10*LOG10(10^((80+G58)/10)*(10+L58)*1000/16/3600+10^((85+H58)/10)*(10+K58)*3000/16/3600+10^((90+J58)/10)*(10+J58)*100/16/3600)</f>
        <v>88.756998246975314</v>
      </c>
      <c r="S58" s="24">
        <f>IF(Q58="",0,IF(EXACT(RIGHT(Q58,5),"dB(A)"),IF(ABS(VALUE(LEFT(Q58,FIND(" ",Q58,1)))-R58)&lt;=0.5,1,-1),-1))</f>
        <v>1</v>
      </c>
      <c r="T58" s="12" t="s">
        <v>1204</v>
      </c>
      <c r="U58" s="30">
        <f>4*(500+K58*10+L58)/(400+J58*10)/340*SQRT(8192/4/0.1)</f>
        <v>1.8304973000288642</v>
      </c>
      <c r="V58" s="24">
        <f>IF(T58="",0,IF(EXACT(RIGHT(T58,2)," s"),IF(ABS(VALUE(LEFT(T58,FIND(" ",T58,1)))-U58)&lt;=0.005,1,-1),-1))</f>
        <v>1</v>
      </c>
      <c r="W58" s="12">
        <v>512</v>
      </c>
      <c r="X58" s="36">
        <f>8*2^(5+L58)</f>
        <v>512</v>
      </c>
      <c r="Y58" s="24">
        <f>IF(W58="",0,IF(ABS(W58-X58)&lt;=1,1,-1))</f>
        <v>1</v>
      </c>
      <c r="Z58" s="12" t="s">
        <v>1205</v>
      </c>
      <c r="AA58" s="26">
        <f>10*LOG10(10^((60+L58-39.4)/10)+10^((63+L58-26.2)/10)+10^((66+L58-16.1)/10)+10^((69+L58-8.6)/10)+10^((72+L58-3.2)/10)+10^((75+L58)/10)+10^((78+L58+1.2)/10)+10^((81+L58+1)/10)+10^((84+L58-1.1)/10)+10^((87+L58-6.6)/10))</f>
        <v>88.684202566927453</v>
      </c>
      <c r="AB58" s="24">
        <f>IF(Z58="",0,IF(EXACT(RIGHT(Z58,5),"dB(A)"),IF(ABS(VALUE(LEFT(Z58,FIND(" ",Z58,1)))-AA58)&lt;=0.2,1,-1),-1))</f>
        <v>1</v>
      </c>
      <c r="AC58" s="12" t="s">
        <v>1206</v>
      </c>
      <c r="AD58" s="26">
        <f>10*LOG10((10^((60+L58)/10)*(1+J58)+10^((65+K58)/10)*(2+I58/3))/(1+J58+2+I58/3))</f>
        <v>63.544583116195653</v>
      </c>
      <c r="AE58" s="24">
        <f>IF(AC58="",0,IF(EXACT(RIGHT(AC58,5),"dB(A)"),IF(ABS(VALUE(LEFT(AC58,FIND(" ",AC58,1)))-AD58)&lt;=0.5,1,-1),-1))</f>
        <v>1</v>
      </c>
      <c r="AF58" s="12" t="s">
        <v>1207</v>
      </c>
      <c r="AG58" s="26">
        <f>90+K58+10*LOG10(4/(0.16*(300+J58*20)/(1+L58/10)))+3</f>
        <v>81.95880017344075</v>
      </c>
      <c r="AH58" s="24">
        <f>IF(AF58="",0,IF(EXACT(RIGHT(AF58,2),"dB"),IF(ABS(VALUE(LEFT(AF58,FIND(" ",AF58,1)))-AG58)&lt;=0.5,1,-1),-1))</f>
        <v>1</v>
      </c>
      <c r="AI58" s="12" t="s">
        <v>1208</v>
      </c>
      <c r="AJ58" s="26">
        <f>10*LOG10(3+40*(2*SQRT(((10+K58)/2)^2+(3+L58/10)^2)-(10+K58))*100*(1+J58)/340)</f>
        <v>21.934730192778574</v>
      </c>
      <c r="AK58" s="24">
        <f>IF(AI58="",0,IF(EXACT(RIGHT(AI58,2),"dB"),IF(ABS(VALUE(LEFT(AI58,FIND(" ",AI58,1)))-AJ58)&lt;=0.5,1,-1),-1))</f>
        <v>1</v>
      </c>
      <c r="AL58" s="12" t="s">
        <v>1209</v>
      </c>
      <c r="AM58" s="26">
        <f>80+L58-(80+K58)</f>
        <v>0</v>
      </c>
      <c r="AN58" s="24">
        <f>IF(AL58="",0,IF(EXACT(RIGHT(AL58,2),"dB"),IF(ABS(VALUE(LEFT(AL58,FIND(" ",AL58,1)))-AM58)&lt;=0.5,1,-1),-1))</f>
        <v>1</v>
      </c>
      <c r="AO58" s="12" t="s">
        <v>1210</v>
      </c>
      <c r="AP58" s="30">
        <f>((2^(5+L58))/2+1)/48</f>
        <v>0.6875</v>
      </c>
      <c r="AQ58" s="24">
        <f>IF(AO58="",0,IF(EXACT(RIGHT(AO58,2),"ms"),IF(ABS(VALUE(LEFT(AO58,FIND(" ",AO58,1)))-AP58)/AP58&lt;=0.02,1,-1),-1))</f>
        <v>-1</v>
      </c>
      <c r="AR58" s="39">
        <f>M58+P58+S58+V58+Y58+AB58+AE58+AH58+AK58+AN58+AQ58</f>
        <v>10</v>
      </c>
    </row>
    <row r="59" spans="1:44" ht="13.2">
      <c r="A59" s="41">
        <v>57</v>
      </c>
      <c r="B59" s="42">
        <v>41992.768807870365</v>
      </c>
      <c r="C59" s="12" t="s">
        <v>1273</v>
      </c>
      <c r="D59" s="12" t="s">
        <v>1274</v>
      </c>
      <c r="E59" s="12">
        <v>240058</v>
      </c>
      <c r="F59" s="23">
        <v>1</v>
      </c>
      <c r="G59" s="23">
        <f>INT(E59/100000)</f>
        <v>2</v>
      </c>
      <c r="H59" s="23">
        <f>INT(($E59-100000*G59)/10000)</f>
        <v>4</v>
      </c>
      <c r="I59" s="23">
        <f>INT(($E59-100000*G59-10000*H59)/1000)</f>
        <v>0</v>
      </c>
      <c r="J59" s="23">
        <f>INT(($E59-100000*$G59-10000*$H59-1000*$I59)/100)</f>
        <v>0</v>
      </c>
      <c r="K59" s="23">
        <f>INT(($E59-100000*$G59-10000*$H59-1000*$I59-100*$J59)/10)</f>
        <v>5</v>
      </c>
      <c r="L59" s="23">
        <f>INT(($E59-100000*$G59-10000*$H59-1000*$I59-100*$J59-10*$K59))</f>
        <v>8</v>
      </c>
      <c r="M59" s="24">
        <v>2</v>
      </c>
      <c r="N59" s="12" t="s">
        <v>1275</v>
      </c>
      <c r="O59" s="26">
        <f>65+K59+10*LOG10(70+L59)+10*LOG10(100/(100+J59*20))</f>
        <v>88.920946026904801</v>
      </c>
      <c r="P59" s="24">
        <f>IF(N59="",0,IF(EXACT(RIGHT(N59,5),"dB(A)"),IF(ABS(VALUE(LEFT(N59,FIND(" ",N59,1)))-O59)&lt;=0.5,1,-1),-1))</f>
        <v>1</v>
      </c>
      <c r="Q59" s="12" t="s">
        <v>1276</v>
      </c>
      <c r="R59" s="26">
        <f>10*LOG10(10^((80+G59)/10)*(10+L59)*1000/16/3600+10^((85+H59)/10)*(10+K59)*3000/16/3600+10^((90+J59)/10)*(10+J59)*100/16/3600)</f>
        <v>88.372461429268427</v>
      </c>
      <c r="S59" s="24">
        <f>IF(Q59="",0,IF(EXACT(RIGHT(Q59,5),"dB(A)"),IF(ABS(VALUE(LEFT(Q59,FIND(" ",Q59,1)))-R59)&lt;=0.5,1,-1),-1))</f>
        <v>1</v>
      </c>
      <c r="T59" s="12" t="s">
        <v>1277</v>
      </c>
      <c r="U59" s="30">
        <f>4*(500+K59*10+L59)/(400+J59*10)/340*SQRT(8192/4/0.1)</f>
        <v>2.3486605768374265</v>
      </c>
      <c r="V59" s="24">
        <f>IF(T59="",0,IF(EXACT(RIGHT(T59,2)," s"),IF(ABS(VALUE(LEFT(T59,FIND(" ",T59,1)))-U59)&lt;=0.005,1,-1),-1))</f>
        <v>1</v>
      </c>
      <c r="W59" s="12">
        <v>65536</v>
      </c>
      <c r="X59" s="36">
        <f>8*2^(5+L59)</f>
        <v>65536</v>
      </c>
      <c r="Y59" s="24">
        <f>IF(W59="",0,IF(ABS(W59-X59)&lt;=1,1,-1))</f>
        <v>1</v>
      </c>
      <c r="Z59" s="12" t="s">
        <v>1278</v>
      </c>
      <c r="AA59" s="26">
        <f>10*LOG10(10^((60+L59-39.4)/10)+10^((63+L59-26.2)/10)+10^((66+L59-16.1)/10)+10^((69+L59-8.6)/10)+10^((72+L59-3.2)/10)+10^((75+L59)/10)+10^((78+L59+1.2)/10)+10^((81+L59+1)/10)+10^((84+L59-1.1)/10)+10^((87+L59-6.6)/10))</f>
        <v>95.684202566927453</v>
      </c>
      <c r="AB59" s="24">
        <f>IF(Z59="",0,IF(EXACT(RIGHT(Z59,5),"dB(A)"),IF(ABS(VALUE(LEFT(Z59,FIND(" ",Z59,1)))-AA59)&lt;=0.2,1,-1),-1))</f>
        <v>1</v>
      </c>
      <c r="AC59" s="12" t="s">
        <v>1279</v>
      </c>
      <c r="AD59" s="26">
        <f>10*LOG10((10^((60+L59)/10)*(1+J59)+10^((65+K59)/10)*(2+I59/3))/(1+J59+2+I59/3))</f>
        <v>69.429925522383144</v>
      </c>
      <c r="AE59" s="24">
        <f>IF(AC59="",0,IF(EXACT(RIGHT(AC59,5),"dB(A)"),IF(ABS(VALUE(LEFT(AC59,FIND(" ",AC59,1)))-AD59)&lt;=0.5,1,-1),-1))</f>
        <v>1</v>
      </c>
      <c r="AF59" s="12" t="s">
        <v>1280</v>
      </c>
      <c r="AG59" s="26">
        <f>90+K59+10*LOG10(4/(0.16*(300+J59*20)/(1+L59/10)))+3</f>
        <v>89.760912590556813</v>
      </c>
      <c r="AH59" s="24">
        <f>IF(AF59="",0,IF(EXACT(RIGHT(AF59,2),"dB"),IF(ABS(VALUE(LEFT(AF59,FIND(" ",AF59,1)))-AG59)&lt;=0.5,1,-1),-1))</f>
        <v>1</v>
      </c>
      <c r="AI59" s="12" t="s">
        <v>1281</v>
      </c>
      <c r="AJ59" s="26">
        <f>10*LOG10(3+40*(2*SQRT(((10+K59)/2)^2+(3+L59/10)^2)-(10+K59))*100*(1+J59)/340)</f>
        <v>13.866498211267613</v>
      </c>
      <c r="AK59" s="24">
        <f>IF(AI59="",0,IF(EXACT(RIGHT(AI59,2),"dB"),IF(ABS(VALUE(LEFT(AI59,FIND(" ",AI59,1)))-AJ59)&lt;=0.5,1,-1),-1))</f>
        <v>1</v>
      </c>
      <c r="AL59" s="12" t="s">
        <v>1282</v>
      </c>
      <c r="AM59" s="26">
        <f>80+L59-(80+K59)</f>
        <v>3</v>
      </c>
      <c r="AN59" s="24">
        <f>IF(AL59="",0,IF(EXACT(RIGHT(AL59,2),"dB"),IF(ABS(VALUE(LEFT(AL59,FIND(" ",AL59,1)))-AM59)&lt;=0.5,1,-1),-1))</f>
        <v>1</v>
      </c>
      <c r="AO59" s="12" t="s">
        <v>1283</v>
      </c>
      <c r="AP59" s="30">
        <f>((2^(5+L59))/2+1)/48</f>
        <v>85.354166666666671</v>
      </c>
      <c r="AQ59" s="24">
        <f>IF(AO59="",0,IF(EXACT(RIGHT(AO59,2),"ms"),IF(ABS(VALUE(LEFT(AO59,FIND(" ",AO59,1)))-AP59)/AP59&lt;=0.02,1,-1),-1))</f>
        <v>-1</v>
      </c>
      <c r="AR59" s="39">
        <f>M59+P59+S59+V59+Y59+AB59+AE59+AH59+AK59+AN59+AQ59</f>
        <v>10</v>
      </c>
    </row>
    <row r="60" spans="1:44" ht="13.2">
      <c r="A60" s="41">
        <v>58</v>
      </c>
      <c r="B60" s="42">
        <v>41992.768755636578</v>
      </c>
      <c r="C60" s="12" t="s">
        <v>1345</v>
      </c>
      <c r="D60" s="12" t="s">
        <v>1346</v>
      </c>
      <c r="E60" s="12">
        <v>241047</v>
      </c>
      <c r="F60" s="23">
        <v>1</v>
      </c>
      <c r="G60" s="23">
        <f>INT(E60/100000)</f>
        <v>2</v>
      </c>
      <c r="H60" s="23">
        <f>INT(($E60-100000*G60)/10000)</f>
        <v>4</v>
      </c>
      <c r="I60" s="23">
        <f>INT(($E60-100000*G60-10000*H60)/1000)</f>
        <v>1</v>
      </c>
      <c r="J60" s="23">
        <f>INT(($E60-100000*$G60-10000*$H60-1000*$I60)/100)</f>
        <v>0</v>
      </c>
      <c r="K60" s="23">
        <f>INT(($E60-100000*$G60-10000*$H60-1000*$I60-100*$J60)/10)</f>
        <v>4</v>
      </c>
      <c r="L60" s="23">
        <f>INT(($E60-100000*$G60-10000*$H60-1000*$I60-100*$J60-10*$K60))</f>
        <v>7</v>
      </c>
      <c r="M60" s="24">
        <v>2</v>
      </c>
      <c r="N60" s="12" t="s">
        <v>1347</v>
      </c>
      <c r="O60" s="26">
        <f>65+K60+10*LOG10(70+L60)+10*LOG10(100/(100+J60*20))</f>
        <v>87.864907251724816</v>
      </c>
      <c r="P60" s="24">
        <f>IF(N60="",0,IF(EXACT(RIGHT(N60,5),"dB(A)"),IF(ABS(VALUE(LEFT(N60,FIND(" ",N60,1)))-O60)&lt;=0.5,1,-1),-1))</f>
        <v>1</v>
      </c>
      <c r="Q60" s="12" t="s">
        <v>1348</v>
      </c>
      <c r="R60" s="26">
        <f>10*LOG10(10^((80+G60)/10)*(10+L60)*1000/16/3600+10^((85+H60)/10)*(10+K60)*3000/16/3600+10^((90+J60)/10)*(10+J60)*100/16/3600)</f>
        <v>88.084372765084964</v>
      </c>
      <c r="S60" s="24">
        <f>IF(Q60="",0,IF(EXACT(RIGHT(Q60,5),"dB(A)"),IF(ABS(VALUE(LEFT(Q60,FIND(" ",Q60,1)))-R60)&lt;=0.5,1,-1),-1))</f>
        <v>1</v>
      </c>
      <c r="T60" s="12" t="s">
        <v>1349</v>
      </c>
      <c r="U60" s="30">
        <f>4*(500+K60*10+L60)/(400+J60*10)/340*SQRT(8192/4/0.1)</f>
        <v>2.3023608163621363</v>
      </c>
      <c r="V60" s="24">
        <f>IF(T60="",0,IF(EXACT(RIGHT(T60,2)," s"),IF(ABS(VALUE(LEFT(T60,FIND(" ",T60,1)))-U60)&lt;=0.005,1,-1),-1))</f>
        <v>1</v>
      </c>
      <c r="W60" s="12">
        <v>32768</v>
      </c>
      <c r="X60" s="36">
        <f>8*2^(5+L60)</f>
        <v>32768</v>
      </c>
      <c r="Y60" s="24">
        <f>IF(W60="",0,IF(ABS(W60-X60)&lt;=1,1,-1))</f>
        <v>1</v>
      </c>
      <c r="Z60" s="12" t="s">
        <v>1350</v>
      </c>
      <c r="AA60" s="26">
        <f>10*LOG10(10^((60+L60-39.4)/10)+10^((63+L60-26.2)/10)+10^((66+L60-16.1)/10)+10^((69+L60-8.6)/10)+10^((72+L60-3.2)/10)+10^((75+L60)/10)+10^((78+L60+1.2)/10)+10^((81+L60+1)/10)+10^((84+L60-1.1)/10)+10^((87+L60-6.6)/10))</f>
        <v>94.684202566927453</v>
      </c>
      <c r="AB60" s="24">
        <f>IF(Z60="",0,IF(EXACT(RIGHT(Z60,5),"dB(A)"),IF(ABS(VALUE(LEFT(Z60,FIND(" ",Z60,1)))-AA60)&lt;=0.2,1,-1),-1))</f>
        <v>1</v>
      </c>
      <c r="AC60" s="12" t="s">
        <v>1351</v>
      </c>
      <c r="AD60" s="26">
        <f>10*LOG10((10^((60+L60)/10)*(1+J60)+10^((65+K60)/10)*(2+I60/3))/(1+J60+2+I60/3))</f>
        <v>68.49042042954315</v>
      </c>
      <c r="AE60" s="24">
        <f>IF(AC60="",0,IF(EXACT(RIGHT(AC60,5),"dB(A)"),IF(ABS(VALUE(LEFT(AC60,FIND(" ",AC60,1)))-AD60)&lt;=0.5,1,-1),-1))</f>
        <v>1</v>
      </c>
      <c r="AF60" s="12" t="s">
        <v>1352</v>
      </c>
      <c r="AG60" s="26">
        <f>90+K60+10*LOG10(4/(0.16*(300+J60*20)/(1+L60/10)))+3</f>
        <v>88.512676753306494</v>
      </c>
      <c r="AH60" s="24">
        <f>IF(AF60="",0,IF(EXACT(RIGHT(AF60,2),"dB"),IF(ABS(VALUE(LEFT(AF60,FIND(" ",AF60,1)))-AG60)&lt;=0.5,1,-1),-1))</f>
        <v>1</v>
      </c>
      <c r="AI60" s="12" t="s">
        <v>1353</v>
      </c>
      <c r="AJ60" s="26">
        <f>10*LOG10(3+40*(2*SQRT(((10+K60)/2)^2+(3+L60/10)^2)-(10+K60))*100*(1+J60)/340)</f>
        <v>13.908111718618928</v>
      </c>
      <c r="AK60" s="24">
        <f>IF(AI60="",0,IF(EXACT(RIGHT(AI60,2),"dB"),IF(ABS(VALUE(LEFT(AI60,FIND(" ",AI60,1)))-AJ60)&lt;=0.5,1,-1),-1))</f>
        <v>-1</v>
      </c>
      <c r="AL60" s="12" t="s">
        <v>1354</v>
      </c>
      <c r="AM60" s="26">
        <f>80+L60-(80+K60)</f>
        <v>3</v>
      </c>
      <c r="AN60" s="24">
        <f>IF(AL60="",0,IF(EXACT(RIGHT(AL60,2),"dB"),IF(ABS(VALUE(LEFT(AL60,FIND(" ",AL60,1)))-AM60)&lt;=0.5,1,-1),-1))</f>
        <v>1</v>
      </c>
      <c r="AO60" s="12" t="s">
        <v>1355</v>
      </c>
      <c r="AP60" s="30">
        <f>((2^(5+L60))/2+1)/48</f>
        <v>42.6875</v>
      </c>
      <c r="AQ60" s="24">
        <f>IF(AO60="",0,IF(EXACT(RIGHT(AO60,2),"ms"),IF(ABS(VALUE(LEFT(AO60,FIND(" ",AO60,1)))-AP60)/AP60&lt;=0.02,1,-1),-1))</f>
        <v>1</v>
      </c>
      <c r="AR60" s="39">
        <f>M60+P60+S60+V60+Y60+AB60+AE60+AH60+AK60+AN60+AQ60</f>
        <v>10</v>
      </c>
    </row>
    <row r="61" spans="1:44" ht="13.2">
      <c r="A61" s="41">
        <v>59</v>
      </c>
      <c r="B61" s="42">
        <v>41992.770485763889</v>
      </c>
      <c r="C61" s="12" t="s">
        <v>1378</v>
      </c>
      <c r="D61" s="12" t="s">
        <v>1379</v>
      </c>
      <c r="E61" s="12">
        <v>242659</v>
      </c>
      <c r="F61" s="23">
        <v>1</v>
      </c>
      <c r="G61" s="23">
        <f>INT(E61/100000)</f>
        <v>2</v>
      </c>
      <c r="H61" s="23">
        <f>INT(($E61-100000*G61)/10000)</f>
        <v>4</v>
      </c>
      <c r="I61" s="23">
        <f>INT(($E61-100000*G61-10000*H61)/1000)</f>
        <v>2</v>
      </c>
      <c r="J61" s="23">
        <f>INT(($E61-100000*$G61-10000*$H61-1000*$I61)/100)</f>
        <v>6</v>
      </c>
      <c r="K61" s="23">
        <f>INT(($E61-100000*$G61-10000*$H61-1000*$I61-100*$J61)/10)</f>
        <v>5</v>
      </c>
      <c r="L61" s="23">
        <f>INT(($E61-100000*$G61-10000*$H61-1000*$I61-100*$J61-10*$K61))</f>
        <v>9</v>
      </c>
      <c r="M61" s="24">
        <v>2</v>
      </c>
      <c r="N61" s="12" t="s">
        <v>1380</v>
      </c>
      <c r="O61" s="26">
        <f>65+K61+10*LOG10(70+L61)+10*LOG10(100/(100+J61*20))</f>
        <v>85.552044104682352</v>
      </c>
      <c r="P61" s="24">
        <f>IF(N61="",0,IF(EXACT(RIGHT(N61,5),"dB(A)"),IF(ABS(VALUE(LEFT(N61,FIND(" ",N61,1)))-O61)&lt;=0.5,1,-1),-1))</f>
        <v>1</v>
      </c>
      <c r="Q61" s="12" t="s">
        <v>1381</v>
      </c>
      <c r="R61" s="26">
        <f>10*LOG10(10^((80+G61)/10)*(10+L61)*1000/16/3600+10^((85+H61)/10)*(10+K61)*3000/16/3600+10^((90+J61)/10)*(10+J61)*100/16/3600)</f>
        <v>88.940022610292687</v>
      </c>
      <c r="S61" s="24">
        <f>IF(Q61="",0,IF(EXACT(RIGHT(Q61,5),"dB(A)"),IF(ABS(VALUE(LEFT(Q61,FIND(" ",Q61,1)))-R61)&lt;=0.5,1,-1),-1))</f>
        <v>1</v>
      </c>
      <c r="T61" s="12" t="s">
        <v>1382</v>
      </c>
      <c r="U61" s="30">
        <f>4*(500+K61*10+L61)/(400+J61*10)/340*SQRT(8192/4/0.1)</f>
        <v>2.0459736051926467</v>
      </c>
      <c r="V61" s="24">
        <f>IF(T61="",0,IF(EXACT(RIGHT(T61,2)," s"),IF(ABS(VALUE(LEFT(T61,FIND(" ",T61,1)))-U61)&lt;=0.005,1,-1),-1))</f>
        <v>1</v>
      </c>
      <c r="W61" s="12">
        <v>131072</v>
      </c>
      <c r="X61" s="36">
        <f>8*2^(5+L61)</f>
        <v>131072</v>
      </c>
      <c r="Y61" s="24">
        <f>IF(W61="",0,IF(ABS(W61-X61)&lt;=1,1,-1))</f>
        <v>1</v>
      </c>
      <c r="Z61" s="12" t="s">
        <v>1383</v>
      </c>
      <c r="AA61" s="26">
        <f>10*LOG10(10^((60+L61-39.4)/10)+10^((63+L61-26.2)/10)+10^((66+L61-16.1)/10)+10^((69+L61-8.6)/10)+10^((72+L61-3.2)/10)+10^((75+L61)/10)+10^((78+L61+1.2)/10)+10^((81+L61+1)/10)+10^((84+L61-1.1)/10)+10^((87+L61-6.6)/10))</f>
        <v>96.684202566927439</v>
      </c>
      <c r="AB61" s="24">
        <f>IF(Z61="",0,IF(EXACT(RIGHT(Z61,5),"dB(A)"),IF(ABS(VALUE(LEFT(Z61,FIND(" ",Z61,1)))-AA61)&lt;=0.2,1,-1),-1))</f>
        <v>1</v>
      </c>
      <c r="AC61" s="12" t="s">
        <v>1384</v>
      </c>
      <c r="AD61" s="26">
        <f>10*LOG10((10^((60+L61)/10)*(1+J61)+10^((65+K61)/10)*(2+I61/3))/(1+J61+2+I61/3))</f>
        <v>69.299628700721968</v>
      </c>
      <c r="AE61" s="24">
        <f>IF(AC61="",0,IF(EXACT(RIGHT(AC61,5),"dB(A)"),IF(ABS(VALUE(LEFT(AC61,FIND(" ",AC61,1)))-AD61)&lt;=0.5,1,-1),-1))</f>
        <v>1</v>
      </c>
      <c r="AF61" s="12" t="s">
        <v>1385</v>
      </c>
      <c r="AG61" s="26">
        <f>90+K61+10*LOG10(4/(0.16*(300+J61*20)/(1+L61/10)))+3</f>
        <v>88.534443192269663</v>
      </c>
      <c r="AH61" s="24">
        <f>IF(AF61="",0,IF(EXACT(RIGHT(AF61,2),"dB"),IF(ABS(VALUE(LEFT(AF61,FIND(" ",AF61,1)))-AG61)&lt;=0.5,1,-1),-1))</f>
        <v>1</v>
      </c>
      <c r="AI61" s="12" t="s">
        <v>1386</v>
      </c>
      <c r="AJ61" s="26">
        <f>10*LOG10(3+40*(2*SQRT(((10+K61)/2)^2+(3+L61/10)^2)-(10+K61))*100*(1+J61)/340)</f>
        <v>22.042037535034858</v>
      </c>
      <c r="AK61" s="24">
        <f>IF(AI61="",0,IF(EXACT(RIGHT(AI61,2),"dB"),IF(ABS(VALUE(LEFT(AI61,FIND(" ",AI61,1)))-AJ61)&lt;=0.5,1,-1),-1))</f>
        <v>-1</v>
      </c>
      <c r="AL61" s="12" t="s">
        <v>1387</v>
      </c>
      <c r="AM61" s="26">
        <f>80+L61-(80+K61)</f>
        <v>4</v>
      </c>
      <c r="AN61" s="24">
        <f>IF(AL61="",0,IF(EXACT(RIGHT(AL61,2),"dB"),IF(ABS(VALUE(LEFT(AL61,FIND(" ",AL61,1)))-AM61)&lt;=0.5,1,-1),-1))</f>
        <v>1</v>
      </c>
      <c r="AO61" s="12" t="s">
        <v>1388</v>
      </c>
      <c r="AP61" s="30">
        <f>((2^(5+L61))/2+1)/48</f>
        <v>170.6875</v>
      </c>
      <c r="AQ61" s="24">
        <f>IF(AO61="",0,IF(EXACT(RIGHT(AO61,2),"ms"),IF(ABS(VALUE(LEFT(AO61,FIND(" ",AO61,1)))-AP61)/AP61&lt;=0.02,1,-1),-1))</f>
        <v>1</v>
      </c>
      <c r="AR61" s="39">
        <f>M61+P61+S61+V61+Y61+AB61+AE61+AH61+AK61+AN61+AQ61</f>
        <v>10</v>
      </c>
    </row>
    <row r="62" spans="1:44" ht="13.2">
      <c r="A62" s="41">
        <v>60</v>
      </c>
      <c r="B62" s="42">
        <v>41992.770959490743</v>
      </c>
      <c r="C62" s="12" t="s">
        <v>1409</v>
      </c>
      <c r="D62" s="12" t="s">
        <v>1410</v>
      </c>
      <c r="E62" s="12">
        <v>255013</v>
      </c>
      <c r="F62" s="23">
        <v>1</v>
      </c>
      <c r="G62" s="23">
        <f>INT(E62/100000)</f>
        <v>2</v>
      </c>
      <c r="H62" s="23">
        <f>INT(($E62-100000*G62)/10000)</f>
        <v>5</v>
      </c>
      <c r="I62" s="23">
        <f>INT(($E62-100000*G62-10000*H62)/1000)</f>
        <v>5</v>
      </c>
      <c r="J62" s="23">
        <f>INT(($E62-100000*$G62-10000*$H62-1000*$I62)/100)</f>
        <v>0</v>
      </c>
      <c r="K62" s="23">
        <f>INT(($E62-100000*$G62-10000*$H62-1000*$I62-100*$J62)/10)</f>
        <v>1</v>
      </c>
      <c r="L62" s="23">
        <f>INT(($E62-100000*$G62-10000*$H62-1000*$I62-100*$J62-10*$K62))</f>
        <v>3</v>
      </c>
      <c r="M62" s="24">
        <v>2</v>
      </c>
      <c r="N62" s="12" t="s">
        <v>1411</v>
      </c>
      <c r="O62" s="26">
        <f>65+K62+10*LOG10(70+L62)+10*LOG10(100/(100+J62*20))</f>
        <v>84.633228601204564</v>
      </c>
      <c r="P62" s="24">
        <f>IF(N62="",0,IF(EXACT(RIGHT(N62,5),"dB(A)"),IF(ABS(VALUE(LEFT(N62,FIND(" ",N62,1)))-O62)&lt;=0.5,1,-1),-1))</f>
        <v>1</v>
      </c>
      <c r="Q62" s="12" t="s">
        <v>1412</v>
      </c>
      <c r="R62" s="26">
        <f>10*LOG10(10^((80+G62)/10)*(10+L62)*1000/16/3600+10^((85+H62)/10)*(10+K62)*3000/16/3600+10^((90+J62)/10)*(10+J62)*100/16/3600)</f>
        <v>87.966075885126259</v>
      </c>
      <c r="S62" s="24">
        <f>IF(Q62="",0,IF(EXACT(RIGHT(Q62,5),"dB(A)"),IF(ABS(VALUE(LEFT(Q62,FIND(" ",Q62,1)))-R62)&lt;=0.5,1,-1),-1))</f>
        <v>1</v>
      </c>
      <c r="T62" s="12" t="s">
        <v>1413</v>
      </c>
      <c r="U62" s="30">
        <f>4*(500+K62*10+L62)/(400+J62*10)/340*SQRT(8192/4/0.1)</f>
        <v>2.1592524658021501</v>
      </c>
      <c r="V62" s="24">
        <f>IF(T62="",0,IF(EXACT(RIGHT(T62,2)," s"),IF(ABS(VALUE(LEFT(T62,FIND(" ",T62,1)))-U62)&lt;=0.005,1,-1),-1))</f>
        <v>1</v>
      </c>
      <c r="W62" s="12">
        <v>2048</v>
      </c>
      <c r="X62" s="36">
        <f>8*2^(5+L62)</f>
        <v>2048</v>
      </c>
      <c r="Y62" s="24">
        <f>IF(W62="",0,IF(ABS(W62-X62)&lt;=1,1,-1))</f>
        <v>1</v>
      </c>
      <c r="Z62" s="12" t="s">
        <v>1414</v>
      </c>
      <c r="AA62" s="26">
        <f>10*LOG10(10^((60+L62-39.4)/10)+10^((63+L62-26.2)/10)+10^((66+L62-16.1)/10)+10^((69+L62-8.6)/10)+10^((72+L62-3.2)/10)+10^((75+L62)/10)+10^((78+L62+1.2)/10)+10^((81+L62+1)/10)+10^((84+L62-1.1)/10)+10^((87+L62-6.6)/10))</f>
        <v>90.684202566927453</v>
      </c>
      <c r="AB62" s="24">
        <f>IF(Z62="",0,IF(EXACT(RIGHT(Z62,5),"dB(A)"),IF(ABS(VALUE(LEFT(Z62,FIND(" ",Z62,1)))-AA62)&lt;=0.2,1,-1),-1))</f>
        <v>1</v>
      </c>
      <c r="AC62" s="12" t="s">
        <v>1415</v>
      </c>
      <c r="AD62" s="26">
        <f>10*LOG10((10^((60+L62)/10)*(1+J62)+10^((65+K62)/10)*(2+I62/3))/(1+J62+2+I62/3))</f>
        <v>65.509057058664268</v>
      </c>
      <c r="AE62" s="24">
        <f>IF(AC62="",0,IF(EXACT(RIGHT(AC62,5),"dB(A)"),IF(ABS(VALUE(LEFT(AC62,FIND(" ",AC62,1)))-AD62)&lt;=0.5,1,-1),-1))</f>
        <v>1</v>
      </c>
      <c r="AF62" s="12" t="s">
        <v>1416</v>
      </c>
      <c r="AG62" s="26">
        <f>90+K62+10*LOG10(4/(0.16*(300+J62*20)/(1+L62/10)))+3</f>
        <v>84.347621062592125</v>
      </c>
      <c r="AH62" s="24">
        <f>IF(AF62="",0,IF(EXACT(RIGHT(AF62,2),"dB"),IF(ABS(VALUE(LEFT(AF62,FIND(" ",AF62,1)))-AG62)&lt;=0.5,1,-1),-1))</f>
        <v>1</v>
      </c>
      <c r="AI62" s="12" t="s">
        <v>1417</v>
      </c>
      <c r="AJ62" s="26">
        <f>10*LOG10(3+40*(2*SQRT(((10+K62)/2)^2+(3+L62/10)^2)-(10+K62))*100*(1+J62)/340)</f>
        <v>13.892899774570964</v>
      </c>
      <c r="AK62" s="24">
        <f>IF(AI62="",0,IF(EXACT(RIGHT(AI62,2),"dB"),IF(ABS(VALUE(LEFT(AI62,FIND(" ",AI62,1)))-AJ62)&lt;=0.5,1,-1),-1))</f>
        <v>-1</v>
      </c>
      <c r="AL62" s="12" t="s">
        <v>1418</v>
      </c>
      <c r="AM62" s="26">
        <f>80+L62-(80+K62)</f>
        <v>2</v>
      </c>
      <c r="AN62" s="24">
        <f>IF(AL62="",0,IF(EXACT(RIGHT(AL62,2),"dB"),IF(ABS(VALUE(LEFT(AL62,FIND(" ",AL62,1)))-AM62)&lt;=0.5,1,-1),-1))</f>
        <v>1</v>
      </c>
      <c r="AO62" s="12" t="s">
        <v>1419</v>
      </c>
      <c r="AP62" s="30">
        <f>((2^(5+L62))/2+1)/48</f>
        <v>2.6875</v>
      </c>
      <c r="AQ62" s="24">
        <f>IF(AO62="",0,IF(EXACT(RIGHT(AO62,2),"ms"),IF(ABS(VALUE(LEFT(AO62,FIND(" ",AO62,1)))-AP62)/AP62&lt;=0.02,1,-1),-1))</f>
        <v>1</v>
      </c>
      <c r="AR62" s="39">
        <f>M62+P62+S62+V62+Y62+AB62+AE62+AH62+AK62+AN62+AQ62</f>
        <v>10</v>
      </c>
    </row>
    <row r="63" spans="1:44" ht="13.2">
      <c r="A63" s="41">
        <v>61</v>
      </c>
      <c r="B63" s="42">
        <v>41992.764247175925</v>
      </c>
      <c r="C63" s="12" t="s">
        <v>164</v>
      </c>
      <c r="D63" s="12" t="s">
        <v>165</v>
      </c>
      <c r="E63" s="12">
        <v>239475</v>
      </c>
      <c r="F63" s="23">
        <v>1</v>
      </c>
      <c r="G63" s="23">
        <f>INT(E63/100000)</f>
        <v>2</v>
      </c>
      <c r="H63" s="23">
        <f>INT(($E63-100000*G63)/10000)</f>
        <v>3</v>
      </c>
      <c r="I63" s="23">
        <f>INT(($E63-100000*G63-10000*H63)/1000)</f>
        <v>9</v>
      </c>
      <c r="J63" s="23">
        <f>INT(($E63-100000*$G63-10000*$H63-1000*$I63)/100)</f>
        <v>4</v>
      </c>
      <c r="K63" s="23">
        <f>INT(($E63-100000*$G63-10000*$H63-1000*$I63-100*$J63)/10)</f>
        <v>7</v>
      </c>
      <c r="L63" s="23">
        <f>INT(($E63-100000*$G63-10000*$H63-1000*$I63-100*$J63-10*$K63))</f>
        <v>5</v>
      </c>
      <c r="M63" s="24">
        <v>2</v>
      </c>
      <c r="N63" s="12" t="s">
        <v>166</v>
      </c>
      <c r="O63" s="26">
        <f>65+K63+10*LOG10(70+L63)+10*LOG10(100/(100+J63*20))</f>
        <v>88.197887582883936</v>
      </c>
      <c r="P63" s="24">
        <f>IF(N63="",0,IF(EXACT(RIGHT(N63,5),"dB(A)"),IF(ABS(VALUE(LEFT(N63,FIND(" ",N63,1)))-O63)&lt;=0.5,1,-1),-1))</f>
        <v>1</v>
      </c>
      <c r="Q63" s="12" t="s">
        <v>167</v>
      </c>
      <c r="R63" s="26">
        <f>10*LOG10(10^((80+G63)/10)*(10+L63)*1000/16/3600+10^((85+H63)/10)*(10+K63)*3000/16/3600+10^((90+J63)/10)*(10+J63)*100/16/3600)</f>
        <v>88.201923951784536</v>
      </c>
      <c r="S63" s="24">
        <f>IF(Q63="",0,IF(EXACT(RIGHT(Q63,5),"dB(A)"),IF(ABS(VALUE(LEFT(Q63,FIND(" ",Q63,1)))-R63)&lt;=0.5,1,-1),-1))</f>
        <v>1</v>
      </c>
      <c r="T63" s="12" t="s">
        <v>168</v>
      </c>
      <c r="U63" s="30">
        <f>4*(500+K63*10+L63)/(400+J63*10)/340*SQRT(8192/4/0.1)</f>
        <v>2.2001952291976541</v>
      </c>
      <c r="V63" s="24">
        <f>IF(T63="",0,IF(EXACT(RIGHT(T63,2)," s"),IF(ABS(VALUE(LEFT(T63,FIND(" ",T63,1)))-U63)&lt;=0.005,1,-1),-1))</f>
        <v>1</v>
      </c>
      <c r="W63" s="12">
        <v>8192</v>
      </c>
      <c r="X63" s="36">
        <f>8*2^(5+L63)</f>
        <v>8192</v>
      </c>
      <c r="Y63" s="24">
        <f>IF(W63="",0,IF(ABS(W63-X63)&lt;=1,1,-1))</f>
        <v>1</v>
      </c>
      <c r="Z63" s="12" t="s">
        <v>169</v>
      </c>
      <c r="AA63" s="26">
        <f>10*LOG10(10^((60+L63-39.4)/10)+10^((63+L63-26.2)/10)+10^((66+L63-16.1)/10)+10^((69+L63-8.6)/10)+10^((72+L63-3.2)/10)+10^((75+L63)/10)+10^((78+L63+1.2)/10)+10^((81+L63+1)/10)+10^((84+L63-1.1)/10)+10^((87+L63-6.6)/10))</f>
        <v>92.684202566927439</v>
      </c>
      <c r="AB63" s="24">
        <f>IF(Z63="",0,IF(EXACT(RIGHT(Z63,5),"dB(A)"),IF(ABS(VALUE(LEFT(Z63,FIND(" ",Z63,1)))-AA63)&lt;=0.2,1,-1),-1))</f>
        <v>1</v>
      </c>
      <c r="AC63" s="12" t="s">
        <v>170</v>
      </c>
      <c r="AD63" s="26">
        <f>10*LOG10((10^((60+L63)/10)*(1+J63)+10^((65+K63)/10)*(2+I63/3))/(1+J63+2+I63/3))</f>
        <v>69.779797539885863</v>
      </c>
      <c r="AE63" s="24">
        <f>IF(AC63="",0,IF(EXACT(RIGHT(AC63,5),"dB(A)"),IF(ABS(VALUE(LEFT(AC63,FIND(" ",AC63,1)))-AD63)&lt;=0.5,1,-1),-1))</f>
        <v>1</v>
      </c>
      <c r="AF63" s="45" t="s">
        <v>171</v>
      </c>
      <c r="AG63" s="26">
        <f>90+K63+10*LOG10(4/(0.16*(300+J63*20)/(1+L63/10)))+3</f>
        <v>89.942476711109094</v>
      </c>
      <c r="AH63" s="24">
        <f>IF(AF63="",0,IF(EXACT(RIGHT(AF63,2),"dB"),IF(ABS(VALUE(LEFT(AF63,FIND(" ",AF63,1)))-AG63)&lt;=0.5,1,-1),-1))</f>
        <v>1</v>
      </c>
      <c r="AI63" s="12" t="s">
        <v>172</v>
      </c>
      <c r="AJ63" s="26">
        <f>10*LOG10(3+40*(2*SQRT(((10+K63)/2)^2+(3+L63/10)^2)-(10+K63))*100*(1+J63)/340)</f>
        <v>19.266378621696528</v>
      </c>
      <c r="AK63" s="24">
        <f>IF(AI63="",0,IF(EXACT(RIGHT(AI63,2),"dB"),IF(ABS(VALUE(LEFT(AI63,FIND(" ",AI63,1)))-AJ63)&lt;=0.5,1,-1),-1))</f>
        <v>-1</v>
      </c>
      <c r="AL63" s="12" t="s">
        <v>173</v>
      </c>
      <c r="AM63" s="26">
        <f>80+L63-(80+K63)</f>
        <v>-2</v>
      </c>
      <c r="AN63" s="24">
        <f>IF(AL63="",0,IF(EXACT(RIGHT(AL63,2),"dB"),IF(ABS(VALUE(LEFT(AL63,FIND(" ",AL63,1)))-AM63)&lt;=0.5,1,-1),-1))</f>
        <v>1</v>
      </c>
      <c r="AO63" s="12" t="s">
        <v>174</v>
      </c>
      <c r="AP63" s="30">
        <f>((2^(5+L63))/2+1)/48</f>
        <v>10.6875</v>
      </c>
      <c r="AQ63" s="24">
        <f>IF(AO63="",0,IF(EXACT(RIGHT(AO63,2),"ms"),IF(ABS(VALUE(LEFT(AO63,FIND(" ",AO63,1)))-AP63)/AP63&lt;=0.02,1,-1),-1))</f>
        <v>1</v>
      </c>
      <c r="AR63" s="39">
        <f>M63+P63+S63+V63+Y63+AB63+AE63+AH63+AK63+AN63+AQ63</f>
        <v>10</v>
      </c>
    </row>
    <row r="64" spans="1:44" ht="13.2">
      <c r="A64" s="41">
        <v>62</v>
      </c>
      <c r="B64" s="42">
        <v>41992.760508564817</v>
      </c>
      <c r="C64" s="12" t="s">
        <v>263</v>
      </c>
      <c r="D64" s="12" t="s">
        <v>264</v>
      </c>
      <c r="E64" s="12">
        <v>242649</v>
      </c>
      <c r="F64" s="23">
        <v>1</v>
      </c>
      <c r="G64" s="23">
        <f>INT(E64/100000)</f>
        <v>2</v>
      </c>
      <c r="H64" s="23">
        <f>INT(($E64-100000*G64)/10000)</f>
        <v>4</v>
      </c>
      <c r="I64" s="23">
        <f>INT(($E64-100000*G64-10000*H64)/1000)</f>
        <v>2</v>
      </c>
      <c r="J64" s="23">
        <f>INT(($E64-100000*$G64-10000*$H64-1000*$I64)/100)</f>
        <v>6</v>
      </c>
      <c r="K64" s="23">
        <f>INT(($E64-100000*$G64-10000*$H64-1000*$I64-100*$J64)/10)</f>
        <v>4</v>
      </c>
      <c r="L64" s="23">
        <f>INT(($E64-100000*$G64-10000*$H64-1000*$I64-100*$J64-10*$K64))</f>
        <v>9</v>
      </c>
      <c r="M64" s="24">
        <v>2</v>
      </c>
      <c r="N64" s="12" t="s">
        <v>265</v>
      </c>
      <c r="O64" s="26">
        <f>65+K64+10*LOG10(70+L64)+10*LOG10(100/(100+J64*20))</f>
        <v>84.552044104682352</v>
      </c>
      <c r="P64" s="24">
        <f>IF(N64="",0,IF(EXACT(RIGHT(N64,5),"dB(A)"),IF(ABS(VALUE(LEFT(N64,FIND(" ",N64,1)))-O64)&lt;=0.5,1,-1),-1))</f>
        <v>1</v>
      </c>
      <c r="Q64" s="12" t="s">
        <v>266</v>
      </c>
      <c r="R64" s="26">
        <f>10*LOG10(10^((80+G64)/10)*(10+L64)*1000/16/3600+10^((85+H64)/10)*(10+K64)*3000/16/3600+10^((90+J64)/10)*(10+J64)*100/16/3600)</f>
        <v>88.704404612994452</v>
      </c>
      <c r="S64" s="24">
        <f>IF(Q64="",0,IF(EXACT(RIGHT(Q64,5),"dB(A)"),IF(ABS(VALUE(LEFT(Q64,FIND(" ",Q64,1)))-R64)&lt;=0.5,1,-1),-1))</f>
        <v>1</v>
      </c>
      <c r="T64" s="12" t="s">
        <v>267</v>
      </c>
      <c r="U64" s="30">
        <f>4*(500+K64*10+L64)/(400+J64*10)/340*SQRT(8192/4/0.1)</f>
        <v>2.0093730040264099</v>
      </c>
      <c r="V64" s="24">
        <f>IF(T64="",0,IF(EXACT(RIGHT(T64,2)," s"),IF(ABS(VALUE(LEFT(T64,FIND(" ",T64,1)))-U64)&lt;=0.005,1,-1),-1))</f>
        <v>1</v>
      </c>
      <c r="W64" s="12">
        <v>131072</v>
      </c>
      <c r="X64" s="36">
        <f>8*2^(5+L64)</f>
        <v>131072</v>
      </c>
      <c r="Y64" s="24">
        <f>IF(W64="",0,IF(ABS(W64-X64)&lt;=1,1,-1))</f>
        <v>1</v>
      </c>
      <c r="Z64" s="12" t="s">
        <v>268</v>
      </c>
      <c r="AA64" s="26">
        <f>10*LOG10(10^((60+L64-39.4)/10)+10^((63+L64-26.2)/10)+10^((66+L64-16.1)/10)+10^((69+L64-8.6)/10)+10^((72+L64-3.2)/10)+10^((75+L64)/10)+10^((78+L64+1.2)/10)+10^((81+L64+1)/10)+10^((84+L64-1.1)/10)+10^((87+L64-6.6)/10))</f>
        <v>96.684202566927439</v>
      </c>
      <c r="AB64" s="24">
        <f>IF(Z64="",0,IF(EXACT(RIGHT(Z64,5),"dB(A)"),IF(ABS(VALUE(LEFT(Z64,FIND(" ",Z64,1)))-AA64)&lt;=0.2,1,-1),-1))</f>
        <v>1</v>
      </c>
      <c r="AC64" s="45" t="s">
        <v>269</v>
      </c>
      <c r="AD64" s="26">
        <f>10*LOG10((10^((60+L64)/10)*(1+J64)+10^((65+K64)/10)*(2+I64/3))/(1+J64+2+I64/3))</f>
        <v>69</v>
      </c>
      <c r="AE64" s="24">
        <f>IF(AC64="",0,IF(EXACT(RIGHT(AC64,5),"dB(A)"),IF(ABS(VALUE(LEFT(AC64,FIND(" ",AC64,1)))-AD64)&lt;=0.5,1,-1),-1))</f>
        <v>1</v>
      </c>
      <c r="AF64" s="12" t="s">
        <v>270</v>
      </c>
      <c r="AG64" s="26">
        <f>90+K64+10*LOG10(4/(0.16*(300+J64*20)/(1+L64/10)))+3</f>
        <v>87.534443192269663</v>
      </c>
      <c r="AH64" s="24">
        <f>IF(AF64="",0,IF(EXACT(RIGHT(AF64,2),"dB"),IF(ABS(VALUE(LEFT(AF64,FIND(" ",AF64,1)))-AG64)&lt;=0.5,1,-1),-1))</f>
        <v>1</v>
      </c>
      <c r="AI64" s="12" t="s">
        <v>271</v>
      </c>
      <c r="AJ64" s="26">
        <f>10*LOG10(3+40*(2*SQRT(((10+K64)/2)^2+(3+L64/10)^2)-(10+K64))*100*(1+J64)/340)</f>
        <v>22.301061447576366</v>
      </c>
      <c r="AK64" s="24">
        <f>IF(AI64="",0,IF(EXACT(RIGHT(AI64,2),"dB"),IF(ABS(VALUE(LEFT(AI64,FIND(" ",AI64,1)))-AJ64)&lt;=0.5,1,-1),-1))</f>
        <v>-1</v>
      </c>
      <c r="AL64" s="12" t="s">
        <v>272</v>
      </c>
      <c r="AM64" s="26">
        <f>80+L64-(80+K64)</f>
        <v>5</v>
      </c>
      <c r="AN64" s="24">
        <f>IF(AL64="",0,IF(EXACT(RIGHT(AL64,2),"dB"),IF(ABS(VALUE(LEFT(AL64,FIND(" ",AL64,1)))-AM64)&lt;=0.5,1,-1),-1))</f>
        <v>1</v>
      </c>
      <c r="AO64" s="12" t="s">
        <v>273</v>
      </c>
      <c r="AP64" s="30">
        <f>((2^(5+L64))/2+1)/48</f>
        <v>170.6875</v>
      </c>
      <c r="AQ64" s="24">
        <f>IF(AO64="",0,IF(EXACT(RIGHT(AO64,2),"ms"),IF(ABS(VALUE(LEFT(AO64,FIND(" ",AO64,1)))-AP64)/AP64&lt;=0.02,1,-1),-1))</f>
        <v>1</v>
      </c>
      <c r="AR64" s="39">
        <f>M64+P64+S64+V64+Y64+AB64+AE64+AH64+AK64+AN64+AQ64</f>
        <v>10</v>
      </c>
    </row>
    <row r="65" spans="1:44" ht="13.2">
      <c r="A65" s="41">
        <v>63</v>
      </c>
      <c r="B65" s="42">
        <v>41992.764376435181</v>
      </c>
      <c r="C65" s="12" t="s">
        <v>355</v>
      </c>
      <c r="D65" s="12" t="s">
        <v>356</v>
      </c>
      <c r="E65" s="12">
        <v>239611</v>
      </c>
      <c r="F65" s="23">
        <v>1</v>
      </c>
      <c r="G65" s="23">
        <f>INT(E65/100000)</f>
        <v>2</v>
      </c>
      <c r="H65" s="23">
        <f>INT(($E65-100000*G65)/10000)</f>
        <v>3</v>
      </c>
      <c r="I65" s="23">
        <f>INT(($E65-100000*G65-10000*H65)/1000)</f>
        <v>9</v>
      </c>
      <c r="J65" s="23">
        <f>INT(($E65-100000*$G65-10000*$H65-1000*$I65)/100)</f>
        <v>6</v>
      </c>
      <c r="K65" s="23">
        <f>INT(($E65-100000*$G65-10000*$H65-1000*$I65-100*$J65)/10)</f>
        <v>1</v>
      </c>
      <c r="L65" s="23">
        <f>INT(($E65-100000*$G65-10000*$H65-1000*$I65-100*$J65-10*$K65))</f>
        <v>1</v>
      </c>
      <c r="M65" s="24">
        <v>2</v>
      </c>
      <c r="N65" s="12" t="s">
        <v>357</v>
      </c>
      <c r="O65" s="26">
        <f>65+K65+10*LOG10(70+L65)+10*LOG10(100/(100+J65*20))</f>
        <v>81.088356678968694</v>
      </c>
      <c r="P65" s="24">
        <f>IF(N65="",0,IF(EXACT(RIGHT(N65,5),"dB(A)"),IF(ABS(VALUE(LEFT(N65,FIND(" ",N65,1)))-O65)&lt;=0.5,1,-1),-1))</f>
        <v>1</v>
      </c>
      <c r="Q65" s="45" t="s">
        <v>358</v>
      </c>
      <c r="R65" s="26">
        <f>10*LOG10(10^((80+G65)/10)*(10+L65)*1000/16/3600+10^((85+H65)/10)*(10+K65)*3000/16/3600+10^((90+J65)/10)*(10+J65)*100/16/3600)</f>
        <v>87.009963444867239</v>
      </c>
      <c r="S65" s="24">
        <f>IF(Q65="",0,IF(EXACT(RIGHT(Q65,5),"dB(A)"),IF(ABS(VALUE(LEFT(Q65,FIND(" ",Q65,1)))-R65)&lt;=0.5,1,-1),-1))</f>
        <v>1</v>
      </c>
      <c r="T65" s="12" t="s">
        <v>359</v>
      </c>
      <c r="U65" s="30">
        <f>4*(500+K65*10+L65)/(400+J65*10)/340*SQRT(8192/4/0.1)</f>
        <v>1.8702907195947089</v>
      </c>
      <c r="V65" s="24">
        <f>IF(T65="",0,IF(EXACT(RIGHT(T65,2)," s"),IF(ABS(VALUE(LEFT(T65,FIND(" ",T65,1)))-U65)&lt;=0.005,1,-1),-1))</f>
        <v>1</v>
      </c>
      <c r="W65" s="12">
        <v>512</v>
      </c>
      <c r="X65" s="36">
        <f>8*2^(5+L65)</f>
        <v>512</v>
      </c>
      <c r="Y65" s="24">
        <f>IF(W65="",0,IF(ABS(W65-X65)&lt;=1,1,-1))</f>
        <v>1</v>
      </c>
      <c r="Z65" s="12" t="s">
        <v>360</v>
      </c>
      <c r="AA65" s="26">
        <f>10*LOG10(10^((60+L65-39.4)/10)+10^((63+L65-26.2)/10)+10^((66+L65-16.1)/10)+10^((69+L65-8.6)/10)+10^((72+L65-3.2)/10)+10^((75+L65)/10)+10^((78+L65+1.2)/10)+10^((81+L65+1)/10)+10^((84+L65-1.1)/10)+10^((87+L65-6.6)/10))</f>
        <v>88.684202566927453</v>
      </c>
      <c r="AB65" s="24">
        <f>IF(Z65="",0,IF(EXACT(RIGHT(Z65,5),"dB(A)"),IF(ABS(VALUE(LEFT(Z65,FIND(" ",Z65,1)))-AA65)&lt;=0.2,1,-1),-1))</f>
        <v>1</v>
      </c>
      <c r="AC65" s="12" t="s">
        <v>361</v>
      </c>
      <c r="AD65" s="26">
        <f>10*LOG10((10^((60+L65)/10)*(1+J65)+10^((65+K65)/10)*(2+I65/3))/(1+J65+2+I65/3))</f>
        <v>63.789704711907632</v>
      </c>
      <c r="AE65" s="24">
        <f>IF(AC65="",0,IF(EXACT(RIGHT(AC65,5),"dB(A)"),IF(ABS(VALUE(LEFT(AC65,FIND(" ",AC65,1)))-AD65)&lt;=0.5,1,-1),-1))</f>
        <v>1</v>
      </c>
      <c r="AF65" s="12" t="s">
        <v>362</v>
      </c>
      <c r="AG65" s="26">
        <f>90+K65+10*LOG10(4/(0.16*(300+J65*20)/(1+L65/10)))+3</f>
        <v>82.160834034323628</v>
      </c>
      <c r="AH65" s="24">
        <f>IF(AF65="",0,IF(EXACT(RIGHT(AF65,2),"dB"),IF(ABS(VALUE(LEFT(AF65,FIND(" ",AF65,1)))-AG65)&lt;=0.5,1,-1),-1))</f>
        <v>1</v>
      </c>
      <c r="AI65" s="12" t="s">
        <v>363</v>
      </c>
      <c r="AJ65" s="26">
        <f>10*LOG10(3+40*(2*SQRT(((10+K65)/2)^2+(3+L65/10)^2)-(10+K65))*100*(1+J65)/340)</f>
        <v>21.366715989114805</v>
      </c>
      <c r="AK65" s="24">
        <f>IF(AI65="",0,IF(EXACT(RIGHT(AI65,2),"dB"),IF(ABS(VALUE(LEFT(AI65,FIND(" ",AI65,1)))-AJ65)&lt;=0.5,1,-1),-1))</f>
        <v>1</v>
      </c>
      <c r="AL65" s="12" t="s">
        <v>364</v>
      </c>
      <c r="AM65" s="26">
        <f>80+L65-(80+K65)</f>
        <v>0</v>
      </c>
      <c r="AN65" s="24">
        <f>IF(AL65="",0,IF(EXACT(RIGHT(AL65,2),"dB"),IF(ABS(VALUE(LEFT(AL65,FIND(" ",AL65,1)))-AM65)&lt;=0.5,1,-1),-1))</f>
        <v>1</v>
      </c>
      <c r="AO65" s="12" t="s">
        <v>365</v>
      </c>
      <c r="AP65" s="30">
        <f>((2^(5+L65))/2+1)/48</f>
        <v>0.6875</v>
      </c>
      <c r="AQ65" s="24">
        <f>IF(AO65="",0,IF(EXACT(RIGHT(AO65,2),"ms"),IF(ABS(VALUE(LEFT(AO65,FIND(" ",AO65,1)))-AP65)/AP65&lt;=0.02,1,-1),-1))</f>
        <v>-1</v>
      </c>
      <c r="AR65" s="39">
        <f>M65+P65+S65+V65+Y65+AB65+AE65+AH65+AK65+AN65+AQ65</f>
        <v>10</v>
      </c>
    </row>
    <row r="66" spans="1:44" ht="13.2">
      <c r="A66" s="41">
        <v>64</v>
      </c>
      <c r="B66" s="42">
        <v>41992.76568856481</v>
      </c>
      <c r="C66" s="12" t="s">
        <v>857</v>
      </c>
      <c r="D66" s="12" t="s">
        <v>858</v>
      </c>
      <c r="E66" s="12">
        <v>233311</v>
      </c>
      <c r="F66" s="23">
        <v>1</v>
      </c>
      <c r="G66" s="23">
        <f>INT(E66/100000)</f>
        <v>2</v>
      </c>
      <c r="H66" s="23">
        <f>INT(($E66-100000*G66)/10000)</f>
        <v>3</v>
      </c>
      <c r="I66" s="23">
        <f>INT(($E66-100000*G66-10000*H66)/1000)</f>
        <v>3</v>
      </c>
      <c r="J66" s="23">
        <f>INT(($E66-100000*$G66-10000*$H66-1000*$I66)/100)</f>
        <v>3</v>
      </c>
      <c r="K66" s="23">
        <f>INT(($E66-100000*$G66-10000*$H66-1000*$I66-100*$J66)/10)</f>
        <v>1</v>
      </c>
      <c r="L66" s="23">
        <f>INT(($E66-100000*$G66-10000*$H66-1000*$I66-100*$J66-10*$K66))</f>
        <v>1</v>
      </c>
      <c r="M66" s="24">
        <v>2</v>
      </c>
      <c r="N66" s="12" t="s">
        <v>859</v>
      </c>
      <c r="O66" s="26">
        <f>65+K66+10*LOG10(70+L66)+10*LOG10(100/(100+J66*20))</f>
        <v>82.471383660631503</v>
      </c>
      <c r="P66" s="24">
        <f>IF(N66="",0,IF(EXACT(RIGHT(N66,5),"dB(A)"),IF(ABS(VALUE(LEFT(N66,FIND(" ",N66,1)))-O66)&lt;=0.5,1,-1),-1))</f>
        <v>1</v>
      </c>
      <c r="Q66" s="12" t="s">
        <v>860</v>
      </c>
      <c r="R66" s="26">
        <f>10*LOG10(10^((80+G66)/10)*(10+L66)*1000/16/3600+10^((85+H66)/10)*(10+K66)*3000/16/3600+10^((90+J66)/10)*(10+J66)*100/16/3600)</f>
        <v>86.402677135658749</v>
      </c>
      <c r="S66" s="24">
        <f>IF(Q66="",0,IF(EXACT(RIGHT(Q66,5),"dB(A)"),IF(ABS(VALUE(LEFT(Q66,FIND(" ",Q66,1)))-R66)&lt;=0.5,1,-1),-1))</f>
        <v>1</v>
      </c>
      <c r="T66" s="12" t="s">
        <v>861</v>
      </c>
      <c r="U66" s="30">
        <f>4*(500+K66*10+L66)/(400+J66*10)/340*SQRT(8192/4/0.1)</f>
        <v>2.0007761186362001</v>
      </c>
      <c r="V66" s="24">
        <f>IF(T66="",0,IF(EXACT(RIGHT(T66,2)," s"),IF(ABS(VALUE(LEFT(T66,FIND(" ",T66,1)))-U66)&lt;=0.005,1,-1),-1))</f>
        <v>1</v>
      </c>
      <c r="W66" s="12">
        <v>512</v>
      </c>
      <c r="X66" s="36">
        <f>8*2^(5+L66)</f>
        <v>512</v>
      </c>
      <c r="Y66" s="24">
        <f>IF(W66="",0,IF(ABS(W66-X66)&lt;=1,1,-1))</f>
        <v>1</v>
      </c>
      <c r="Z66" s="12" t="s">
        <v>862</v>
      </c>
      <c r="AA66" s="26">
        <f>10*LOG10(10^((60+L66-39.4)/10)+10^((63+L66-26.2)/10)+10^((66+L66-16.1)/10)+10^((69+L66-8.6)/10)+10^((72+L66-3.2)/10)+10^((75+L66)/10)+10^((78+L66+1.2)/10)+10^((81+L66+1)/10)+10^((84+L66-1.1)/10)+10^((87+L66-6.6)/10))</f>
        <v>88.684202566927453</v>
      </c>
      <c r="AB66" s="24">
        <f>IF(Z66="",0,IF(EXACT(RIGHT(Z66,5),"dB(A)"),IF(ABS(VALUE(LEFT(Z66,FIND(" ",Z66,1)))-AA66)&lt;=0.2,1,-1),-1))</f>
        <v>1</v>
      </c>
      <c r="AC66" s="12" t="s">
        <v>863</v>
      </c>
      <c r="AD66" s="26">
        <f>10*LOG10((10^((60+L66)/10)*(1+J66)+10^((65+K66)/10)*(2+I66/3))/(1+J66+2+I66/3))</f>
        <v>63.848119392671272</v>
      </c>
      <c r="AE66" s="24">
        <f>IF(AC66="",0,IF(EXACT(RIGHT(AC66,5),"dB(A)"),IF(ABS(VALUE(LEFT(AC66,FIND(" ",AC66,1)))-AD66)&lt;=0.5,1,-1),-1))</f>
        <v>1</v>
      </c>
      <c r="AF66" s="12" t="s">
        <v>864</v>
      </c>
      <c r="AG66" s="26">
        <f>90+K66+10*LOG10(4/(0.16*(300+J66*20)/(1+L66/10)))+3</f>
        <v>82.830301930629759</v>
      </c>
      <c r="AH66" s="24">
        <f>IF(AF66="",0,IF(EXACT(RIGHT(AF66,2),"dB"),IF(ABS(VALUE(LEFT(AF66,FIND(" ",AF66,1)))-AG66)&lt;=0.5,1,-1),-1))</f>
        <v>1</v>
      </c>
      <c r="AI66" s="45" t="s">
        <v>865</v>
      </c>
      <c r="AJ66" s="26">
        <f>10*LOG10(3+40*(2*SQRT(((10+K66)/2)^2+(3+L66/10)^2)-(10+K66))*100*(1+J66)/340)</f>
        <v>19.007089781868078</v>
      </c>
      <c r="AK66" s="24">
        <f>IF(AI66="",0,IF(EXACT(RIGHT(AI66,2),"dB"),IF(ABS(VALUE(LEFT(AI66,FIND(" ",AI66,1)))-AJ66)&lt;=0.5,1,-1),-1))</f>
        <v>1</v>
      </c>
      <c r="AL66" s="12" t="s">
        <v>866</v>
      </c>
      <c r="AM66" s="26">
        <f>80+L66-(80+K66)</f>
        <v>0</v>
      </c>
      <c r="AN66" s="24">
        <f>IF(AL66="",0,IF(EXACT(RIGHT(AL66,2),"dB"),IF(ABS(VALUE(LEFT(AL66,FIND(" ",AL66,1)))-AM66)&lt;=0.5,1,-1),-1))</f>
        <v>1</v>
      </c>
      <c r="AO66" s="12" t="s">
        <v>867</v>
      </c>
      <c r="AP66" s="30">
        <f>((2^(5+L66))/2+1)/48</f>
        <v>0.6875</v>
      </c>
      <c r="AQ66" s="24">
        <f>IF(AO66="",0,IF(EXACT(RIGHT(AO66,2),"ms"),IF(ABS(VALUE(LEFT(AO66,FIND(" ",AO66,1)))-AP66)/AP66&lt;=0.02,1,-1),-1))</f>
        <v>-1</v>
      </c>
      <c r="AR66" s="39">
        <f>M66+P66+S66+V66+Y66+AB66+AE66+AH66+AK66+AN66+AQ66</f>
        <v>10</v>
      </c>
    </row>
    <row r="67" spans="1:44" ht="13.2">
      <c r="A67" s="41">
        <v>65</v>
      </c>
      <c r="B67" s="42">
        <v>41992.770427094903</v>
      </c>
      <c r="C67" s="12" t="s">
        <v>1167</v>
      </c>
      <c r="D67" s="12" t="s">
        <v>1168</v>
      </c>
      <c r="E67" s="12">
        <v>233102</v>
      </c>
      <c r="F67" s="23">
        <v>1</v>
      </c>
      <c r="G67" s="23">
        <f>INT(E67/100000)</f>
        <v>2</v>
      </c>
      <c r="H67" s="23">
        <f>INT(($E67-100000*G67)/10000)</f>
        <v>3</v>
      </c>
      <c r="I67" s="23">
        <f>INT(($E67-100000*G67-10000*H67)/1000)</f>
        <v>3</v>
      </c>
      <c r="J67" s="23">
        <f>INT(($E67-100000*$G67-10000*$H67-1000*$I67)/100)</f>
        <v>1</v>
      </c>
      <c r="K67" s="23">
        <f>INT(($E67-100000*$G67-10000*$H67-1000*$I67-100*$J67)/10)</f>
        <v>0</v>
      </c>
      <c r="L67" s="23">
        <f>INT(($E67-100000*$G67-10000*$H67-1000*$I67-100*$J67-10*$K67))</f>
        <v>2</v>
      </c>
      <c r="M67" s="24">
        <v>2</v>
      </c>
      <c r="N67" s="12" t="s">
        <v>1169</v>
      </c>
      <c r="O67" s="26">
        <f>65+K67+10*LOG10(70+L67)+10*LOG10(100/(100+J67*20))</f>
        <v>82.781512503836439</v>
      </c>
      <c r="P67" s="24">
        <f>IF(N67="",0,IF(EXACT(RIGHT(N67,5),"dB(A)"),IF(ABS(VALUE(LEFT(N67,FIND(" ",N67,1)))-O67)&lt;=0.5,1,-1),-1))</f>
        <v>1</v>
      </c>
      <c r="Q67" s="12" t="s">
        <v>1170</v>
      </c>
      <c r="R67" s="26">
        <f>10*LOG10(10^((80+G67)/10)*(10+L67)*1000/16/3600+10^((85+H67)/10)*(10+K67)*3000/16/3600+10^((90+J67)/10)*(10+J67)*100/16/3600)</f>
        <v>85.862318517312062</v>
      </c>
      <c r="S67" s="24">
        <f>IF(Q67="",0,IF(EXACT(RIGHT(Q67,5),"dB(A)"),IF(ABS(VALUE(LEFT(Q67,FIND(" ",Q67,1)))-R67)&lt;=0.5,1,-1),-1))</f>
        <v>1</v>
      </c>
      <c r="T67" s="12" t="s">
        <v>1171</v>
      </c>
      <c r="U67" s="30">
        <f>4*(500+K67*10+L67)/(400+J67*10)/340*SQRT(8192/4/0.1)</f>
        <v>2.0614172734896195</v>
      </c>
      <c r="V67" s="24">
        <f>IF(T67="",0,IF(EXACT(RIGHT(T67,2)," s"),IF(ABS(VALUE(LEFT(T67,FIND(" ",T67,1)))-U67)&lt;=0.005,1,-1),-1))</f>
        <v>1</v>
      </c>
      <c r="W67" s="12">
        <v>1024</v>
      </c>
      <c r="X67" s="36">
        <f>8*2^(5+L67)</f>
        <v>1024</v>
      </c>
      <c r="Y67" s="24">
        <f>IF(W67="",0,IF(ABS(W67-X67)&lt;=1,1,-1))</f>
        <v>1</v>
      </c>
      <c r="Z67" s="12" t="s">
        <v>1172</v>
      </c>
      <c r="AA67" s="26">
        <f>10*LOG10(10^((60+L67-39.4)/10)+10^((63+L67-26.2)/10)+10^((66+L67-16.1)/10)+10^((69+L67-8.6)/10)+10^((72+L67-3.2)/10)+10^((75+L67)/10)+10^((78+L67+1.2)/10)+10^((81+L67+1)/10)+10^((84+L67-1.1)/10)+10^((87+L67-6.6)/10))</f>
        <v>89.684202566927453</v>
      </c>
      <c r="AB67" s="24">
        <f>IF(Z67="",0,IF(EXACT(RIGHT(Z67,5),"dB(A)"),IF(ABS(VALUE(LEFT(Z67,FIND(" ",Z67,1)))-AA67)&lt;=0.2,1,-1),-1))</f>
        <v>1</v>
      </c>
      <c r="AC67" s="45" t="s">
        <v>1173</v>
      </c>
      <c r="AD67" s="26">
        <f>10*LOG10((10^((60+L67)/10)*(1+J67)+10^((65+K67)/10)*(2+I67/3))/(1+J67+2+I67/3))</f>
        <v>64.033477150101959</v>
      </c>
      <c r="AE67" s="24">
        <f>IF(AC67="",0,IF(EXACT(RIGHT(AC67,5),"dB(A)"),IF(ABS(VALUE(LEFT(AC67,FIND(" ",AC67,1)))-AD67)&lt;=0.5,1,-1),-1))</f>
        <v>1</v>
      </c>
      <c r="AF67" s="12" t="s">
        <v>1174</v>
      </c>
      <c r="AG67" s="26">
        <f>90+K67+10*LOG10(4/(0.16*(300+J67*20)/(1+L67/10)))+3</f>
        <v>82.719712763997563</v>
      </c>
      <c r="AH67" s="24">
        <f>IF(AF67="",0,IF(EXACT(RIGHT(AF67,2),"dB"),IF(ABS(VALUE(LEFT(AF67,FIND(" ",AF67,1)))-AG67)&lt;=0.5,1,-1),-1))</f>
        <v>-1</v>
      </c>
      <c r="AI67" s="12" t="s">
        <v>1175</v>
      </c>
      <c r="AJ67" s="26">
        <f>10*LOG10(3+40*(2*SQRT(((10+K67)/2)^2+(3+L67/10)^2)-(10+K67))*100*(1+J67)/340)</f>
        <v>16.726753005070961</v>
      </c>
      <c r="AK67" s="24">
        <f>IF(AI67="",0,IF(EXACT(RIGHT(AI67,2),"dB"),IF(ABS(VALUE(LEFT(AI67,FIND(" ",AI67,1)))-AJ67)&lt;=0.5,1,-1),-1))</f>
        <v>1</v>
      </c>
      <c r="AL67" s="12" t="s">
        <v>1176</v>
      </c>
      <c r="AM67" s="26">
        <f>80+L67-(80+K67)</f>
        <v>2</v>
      </c>
      <c r="AN67" s="24">
        <f>IF(AL67="",0,IF(EXACT(RIGHT(AL67,2),"dB"),IF(ABS(VALUE(LEFT(AL67,FIND(" ",AL67,1)))-AM67)&lt;=0.5,1,-1),-1))</f>
        <v>1</v>
      </c>
      <c r="AO67" s="12" t="s">
        <v>1177</v>
      </c>
      <c r="AP67" s="30">
        <f>((2^(5+L67))/2+1)/48</f>
        <v>1.3541666666666667</v>
      </c>
      <c r="AQ67" s="24">
        <f>IF(AO67="",0,IF(EXACT(RIGHT(AO67,2),"ms"),IF(ABS(VALUE(LEFT(AO67,FIND(" ",AO67,1)))-AP67)/AP67&lt;=0.02,1,-1),-1))</f>
        <v>1</v>
      </c>
      <c r="AR67" s="39">
        <f>M67+P67+S67+V67+Y67+AB67+AE67+AH67+AK67+AN67+AQ67</f>
        <v>10</v>
      </c>
    </row>
    <row r="68" spans="1:44" ht="13.2">
      <c r="A68" s="41">
        <v>66</v>
      </c>
      <c r="B68" s="42">
        <v>41992.7677859838</v>
      </c>
      <c r="C68" s="12" t="s">
        <v>1211</v>
      </c>
      <c r="D68" s="12" t="s">
        <v>1212</v>
      </c>
      <c r="E68" s="12">
        <v>244166</v>
      </c>
      <c r="F68" s="23">
        <v>1</v>
      </c>
      <c r="G68" s="23">
        <f>INT(E68/100000)</f>
        <v>2</v>
      </c>
      <c r="H68" s="23">
        <f>INT(($E68-100000*G68)/10000)</f>
        <v>4</v>
      </c>
      <c r="I68" s="23">
        <f>INT(($E68-100000*G68-10000*H68)/1000)</f>
        <v>4</v>
      </c>
      <c r="J68" s="23">
        <f>INT(($E68-100000*$G68-10000*$H68-1000*$I68)/100)</f>
        <v>1</v>
      </c>
      <c r="K68" s="23">
        <f>INT(($E68-100000*$G68-10000*$H68-1000*$I68-100*$J68)/10)</f>
        <v>6</v>
      </c>
      <c r="L68" s="23">
        <f>INT(($E68-100000*$G68-10000*$H68-1000*$I68-100*$J68-10*$K68))</f>
        <v>6</v>
      </c>
      <c r="M68" s="24">
        <v>2</v>
      </c>
      <c r="N68" s="45" t="s">
        <v>1213</v>
      </c>
      <c r="O68" s="26">
        <f>65+K68+10*LOG10(70+L68)+10*LOG10(100/(100+J68*20))</f>
        <v>89.016323462331655</v>
      </c>
      <c r="P68" s="24">
        <f>IF(N68="",0,IF(EXACT(RIGHT(N68,5),"dB(A)"),IF(ABS(VALUE(LEFT(N68,FIND(" ",N68,1)))-O68)&lt;=0.5,1,-1),-1))</f>
        <v>1</v>
      </c>
      <c r="Q68" s="12" t="s">
        <v>1214</v>
      </c>
      <c r="R68" s="26">
        <f>10*LOG10(10^((80+G68)/10)*(10+L68)*1000/16/3600+10^((85+H68)/10)*(10+K68)*3000/16/3600+10^((90+J68)/10)*(10+J68)*100/16/3600)</f>
        <v>88.633270155583858</v>
      </c>
      <c r="S68" s="24">
        <f>IF(Q68="",0,IF(EXACT(RIGHT(Q68,5),"dB(A)"),IF(ABS(VALUE(LEFT(Q68,FIND(" ",Q68,1)))-R68)&lt;=0.5,1,-1),-1))</f>
        <v>1</v>
      </c>
      <c r="T68" s="12" t="s">
        <v>1215</v>
      </c>
      <c r="U68" s="30">
        <f>4*(500+K68*10+L68)/(400+J68*10)/340*SQRT(8192/4/0.1)</f>
        <v>2.3242274438149892</v>
      </c>
      <c r="V68" s="24">
        <f>IF(T68="",0,IF(EXACT(RIGHT(T68,2)," s"),IF(ABS(VALUE(LEFT(T68,FIND(" ",T68,1)))-U68)&lt;=0.005,1,-1),-1))</f>
        <v>1</v>
      </c>
      <c r="W68" s="12">
        <v>16384</v>
      </c>
      <c r="X68" s="36">
        <f>8*2^(5+L68)</f>
        <v>16384</v>
      </c>
      <c r="Y68" s="24">
        <f>IF(W68="",0,IF(ABS(W68-X68)&lt;=1,1,-1))</f>
        <v>1</v>
      </c>
      <c r="Z68" s="12" t="s">
        <v>1216</v>
      </c>
      <c r="AA68" s="26">
        <f>10*LOG10(10^((60+L68-39.4)/10)+10^((63+L68-26.2)/10)+10^((66+L68-16.1)/10)+10^((69+L68-8.6)/10)+10^((72+L68-3.2)/10)+10^((75+L68)/10)+10^((78+L68+1.2)/10)+10^((81+L68+1)/10)+10^((84+L68-1.1)/10)+10^((87+L68-6.6)/10))</f>
        <v>93.684202566927453</v>
      </c>
      <c r="AB68" s="24">
        <f>IF(Z68="",0,IF(EXACT(RIGHT(Z68,5),"dB(A)"),IF(ABS(VALUE(LEFT(Z68,FIND(" ",Z68,1)))-AA68)&lt;=0.2,1,-1),-1))</f>
        <v>1</v>
      </c>
      <c r="AC68" s="12" t="s">
        <v>1217</v>
      </c>
      <c r="AD68" s="26">
        <f>10*LOG10((10^((60+L68)/10)*(1+J68)+10^((65+K68)/10)*(2+I68/3))/(1+J68+2+I68/3))</f>
        <v>69.713308611446024</v>
      </c>
      <c r="AE68" s="24">
        <f>IF(AC68="",0,IF(EXACT(RIGHT(AC68,5),"dB(A)"),IF(ABS(VALUE(LEFT(AC68,FIND(" ",AC68,1)))-AD68)&lt;=0.5,1,-1),-1))</f>
        <v>1</v>
      </c>
      <c r="AF68" s="45" t="s">
        <v>1218</v>
      </c>
      <c r="AG68" s="26">
        <f>90+K68+10*LOG10(4/(0.16*(300+J68*20)/(1+L68/10)))+3</f>
        <v>89.969100130080562</v>
      </c>
      <c r="AH68" s="24">
        <f>IF(AF68="",0,IF(EXACT(RIGHT(AF68,2),"dB"),IF(ABS(VALUE(LEFT(AF68,FIND(" ",AF68,1)))-AG68)&lt;=0.5,1,-1),-1))</f>
        <v>1</v>
      </c>
      <c r="AI68" s="12" t="s">
        <v>1219</v>
      </c>
      <c r="AJ68" s="26">
        <f>10*LOG10(3+40*(2*SQRT(((10+K68)/2)^2+(3+L68/10)^2)-(10+K68))*100*(1+J68)/340)</f>
        <v>15.950732004504836</v>
      </c>
      <c r="AK68" s="24">
        <f>IF(AI68="",0,IF(EXACT(RIGHT(AI68,2),"dB"),IF(ABS(VALUE(LEFT(AI68,FIND(" ",AI68,1)))-AJ68)&lt;=0.5,1,-1),-1))</f>
        <v>-1</v>
      </c>
      <c r="AL68" s="12" t="s">
        <v>1220</v>
      </c>
      <c r="AM68" s="26">
        <f>80+L68-(80+K68)</f>
        <v>0</v>
      </c>
      <c r="AN68" s="24">
        <f>IF(AL68="",0,IF(EXACT(RIGHT(AL68,2),"dB"),IF(ABS(VALUE(LEFT(AL68,FIND(" ",AL68,1)))-AM68)&lt;=0.5,1,-1),-1))</f>
        <v>1</v>
      </c>
      <c r="AO68" s="12" t="s">
        <v>1221</v>
      </c>
      <c r="AP68" s="30">
        <f>((2^(5+L68))/2+1)/48</f>
        <v>21.354166666666668</v>
      </c>
      <c r="AQ68" s="24">
        <f>IF(AO68="",0,IF(EXACT(RIGHT(AO68,2),"ms"),IF(ABS(VALUE(LEFT(AO68,FIND(" ",AO68,1)))-AP68)/AP68&lt;=0.02,1,-1),-1))</f>
        <v>1</v>
      </c>
      <c r="AR68" s="39">
        <f>M68+P68+S68+V68+Y68+AB68+AE68+AH68+AK68+AN68+AQ68</f>
        <v>10</v>
      </c>
    </row>
    <row r="69" spans="1:44" ht="13.2">
      <c r="A69" s="41">
        <v>67</v>
      </c>
      <c r="B69" s="42">
        <v>41992.765746782403</v>
      </c>
      <c r="C69" s="12" t="s">
        <v>877</v>
      </c>
      <c r="D69" s="12" t="s">
        <v>878</v>
      </c>
      <c r="E69" s="12">
        <v>232298</v>
      </c>
      <c r="F69" s="23">
        <v>1</v>
      </c>
      <c r="G69" s="23">
        <f>INT(E69/100000)</f>
        <v>2</v>
      </c>
      <c r="H69" s="23">
        <f>INT(($E69-100000*G69)/10000)</f>
        <v>3</v>
      </c>
      <c r="I69" s="23">
        <f>INT(($E69-100000*G69-10000*H69)/1000)</f>
        <v>2</v>
      </c>
      <c r="J69" s="23">
        <f>INT(($E69-100000*$G69-10000*$H69-1000*$I69)/100)</f>
        <v>2</v>
      </c>
      <c r="K69" s="23">
        <f>INT(($E69-100000*$G69-10000*$H69-1000*$I69-100*$J69)/10)</f>
        <v>9</v>
      </c>
      <c r="L69" s="23">
        <f>INT(($E69-100000*$G69-10000*$H69-1000*$I69-100*$J69-10*$K69))</f>
        <v>8</v>
      </c>
      <c r="M69" s="24">
        <v>2</v>
      </c>
      <c r="N69" s="12" t="s">
        <v>879</v>
      </c>
      <c r="O69" s="26">
        <f>65+K69+10*LOG10(70+L69)+10*LOG10(100/(100+J69*20))</f>
        <v>91.459665670122419</v>
      </c>
      <c r="P69" s="24">
        <f>IF(N69="",0,IF(EXACT(RIGHT(N69,5),"dB(A)"),IF(ABS(VALUE(LEFT(N69,FIND(" ",N69,1)))-O69)&lt;=0.5,1,-1),-1))</f>
        <v>1</v>
      </c>
      <c r="Q69" s="12" t="s">
        <v>880</v>
      </c>
      <c r="R69" s="26">
        <f>10*LOG10(10^((80+G69)/10)*(10+L69)*1000/16/3600+10^((85+H69)/10)*(10+K69)*3000/16/3600+10^((90+J69)/10)*(10+J69)*100/16/3600)</f>
        <v>88.493772677309749</v>
      </c>
      <c r="S69" s="24">
        <f>IF(Q69="",0,IF(EXACT(RIGHT(Q69,5),"dB(A)"),IF(ABS(VALUE(LEFT(Q69,FIND(" ",Q69,1)))-R69)&lt;=0.5,1,-1),-1))</f>
        <v>1</v>
      </c>
      <c r="T69" s="12" t="s">
        <v>881</v>
      </c>
      <c r="U69" s="30">
        <f>4*(500+K69*10+L69)/(400+J69*10)/340*SQRT(8192/4/0.1)</f>
        <v>2.3971650878115396</v>
      </c>
      <c r="V69" s="24">
        <f>IF(T69="",0,IF(EXACT(RIGHT(T69,2)," s"),IF(ABS(VALUE(LEFT(T69,FIND(" ",T69,1)))-U69)&lt;=0.005,1,-1),-1))</f>
        <v>1</v>
      </c>
      <c r="W69" s="12">
        <v>65536</v>
      </c>
      <c r="X69" s="36">
        <f>8*2^(5+L69)</f>
        <v>65536</v>
      </c>
      <c r="Y69" s="24">
        <f>IF(W69="",0,IF(ABS(W69-X69)&lt;=1,1,-1))</f>
        <v>1</v>
      </c>
      <c r="Z69" s="12" t="s">
        <v>882</v>
      </c>
      <c r="AA69" s="26">
        <f>10*LOG10(10^((60+L69-39.4)/10)+10^((63+L69-26.2)/10)+10^((66+L69-16.1)/10)+10^((69+L69-8.6)/10)+10^((72+L69-3.2)/10)+10^((75+L69)/10)+10^((78+L69+1.2)/10)+10^((81+L69+1)/10)+10^((84+L69-1.1)/10)+10^((87+L69-6.6)/10))</f>
        <v>95.684202566927453</v>
      </c>
      <c r="AB69" s="24">
        <f>IF(Z69="",0,IF(EXACT(RIGHT(Z69,5),"dB(A)"),IF(ABS(VALUE(LEFT(Z69,FIND(" ",Z69,1)))-AA69)&lt;=0.2,1,-1),-1))</f>
        <v>1</v>
      </c>
      <c r="AC69" s="12" t="s">
        <v>883</v>
      </c>
      <c r="AD69" s="26">
        <f>10*LOG10((10^((60+L69)/10)*(1+J69)+10^((65+K69)/10)*(2+I69/3))/(1+J69+2+I69/3))</f>
        <v>71.807279750046405</v>
      </c>
      <c r="AE69" s="24">
        <f>IF(AC69="",0,IF(EXACT(RIGHT(AC69,5),"dB(A)"),IF(ABS(VALUE(LEFT(AC69,FIND(" ",AC69,1)))-AD69)&lt;=0.5,1,-1),-1))</f>
        <v>1</v>
      </c>
      <c r="AF69" s="12" t="s">
        <v>884</v>
      </c>
      <c r="AG69" s="26">
        <f>90+K69+10*LOG10(4/(0.16*(300+J69*20)/(1+L69/10)))+3</f>
        <v>93.217335967330882</v>
      </c>
      <c r="AH69" s="24">
        <f>IF(AF69="",0,IF(EXACT(RIGHT(AF69,2),"dB"),IF(ABS(VALUE(LEFT(AF69,FIND(" ",AF69,1)))-AG69)&lt;=0.5,1,-1),-1))</f>
        <v>1</v>
      </c>
      <c r="AI69" s="12" t="s">
        <v>885</v>
      </c>
      <c r="AJ69" s="26">
        <f>10*LOG10(3+40*(2*SQRT(((10+K69)/2)^2+(3+L69/10)^2)-(10+K69))*100*(1+J69)/340)</f>
        <v>17.376489503055193</v>
      </c>
      <c r="AK69" s="24">
        <f>IF(AI69="",0,IF(EXACT(RIGHT(AI69,2),"dB"),IF(ABS(VALUE(LEFT(AI69,FIND(" ",AI69,1)))-AJ69)&lt;=0.5,1,-1),-1))</f>
        <v>1</v>
      </c>
      <c r="AL69" s="44">
        <v>-1</v>
      </c>
      <c r="AM69" s="26">
        <f>80+L69-(80+K69)</f>
        <v>-1</v>
      </c>
      <c r="AN69" s="24">
        <f>IF(AL69="",0,IF(EXACT(RIGHT(AL69,2),"dB"),IF(ABS(VALUE(LEFT(AL69,FIND(" ",AL69,1)))-AM69)&lt;=0.5,1,-1),-1))</f>
        <v>-1</v>
      </c>
      <c r="AO69" s="45" t="s">
        <v>886</v>
      </c>
      <c r="AP69" s="30">
        <f>((2^(5+L69))/2+1)/48</f>
        <v>85.354166666666671</v>
      </c>
      <c r="AQ69" s="24">
        <f>IF(AO69="",0,IF(EXACT(RIGHT(AO69,2),"ms"),IF(ABS(VALUE(LEFT(AO69,FIND(" ",AO69,1)))-AP69)/AP69&lt;=0.02,1,-1),-1))</f>
        <v>1</v>
      </c>
      <c r="AR69" s="39">
        <f>M69+P69+S69+V69+Y69+AB69+AE69+AH69+AK69+AN69+AQ69</f>
        <v>10</v>
      </c>
    </row>
    <row r="70" spans="1:44" ht="13.2">
      <c r="A70" s="41">
        <v>68</v>
      </c>
      <c r="B70" s="42">
        <v>41992.765754768516</v>
      </c>
      <c r="C70" s="12" t="s">
        <v>887</v>
      </c>
      <c r="D70" s="12" t="s">
        <v>888</v>
      </c>
      <c r="E70" s="12">
        <v>243124</v>
      </c>
      <c r="F70" s="23">
        <v>1</v>
      </c>
      <c r="G70" s="23">
        <f>INT(E70/100000)</f>
        <v>2</v>
      </c>
      <c r="H70" s="23">
        <f>INT(($E70-100000*G70)/10000)</f>
        <v>4</v>
      </c>
      <c r="I70" s="23">
        <f>INT(($E70-100000*G70-10000*H70)/1000)</f>
        <v>3</v>
      </c>
      <c r="J70" s="23">
        <f>INT(($E70-100000*$G70-10000*$H70-1000*$I70)/100)</f>
        <v>1</v>
      </c>
      <c r="K70" s="23">
        <f>INT(($E70-100000*$G70-10000*$H70-1000*$I70-100*$J70)/10)</f>
        <v>2</v>
      </c>
      <c r="L70" s="23">
        <f>INT(($E70-100000*$G70-10000*$H70-1000*$I70-100*$J70-10*$K70))</f>
        <v>4</v>
      </c>
      <c r="M70" s="24">
        <v>2</v>
      </c>
      <c r="N70" s="12" t="s">
        <v>889</v>
      </c>
      <c r="O70" s="26">
        <f>65+K70+10*LOG10(70+L70)+10*LOG10(100/(100+J70*20))</f>
        <v>84.900504736833511</v>
      </c>
      <c r="P70" s="24">
        <f>IF(N70="",0,IF(EXACT(RIGHT(N70,5),"dB(A)"),IF(ABS(VALUE(LEFT(N70,FIND(" ",N70,1)))-O70)&lt;=0.5,1,-1),-1))</f>
        <v>1</v>
      </c>
      <c r="Q70" s="45" t="s">
        <v>890</v>
      </c>
      <c r="R70" s="26">
        <f>10*LOG10(10^((80+G70)/10)*(10+L70)*1000/16/3600+10^((85+H70)/10)*(10+K70)*3000/16/3600+10^((90+J70)/10)*(10+J70)*100/16/3600)</f>
        <v>87.474264404830819</v>
      </c>
      <c r="S70" s="24">
        <f>IF(Q70="",0,IF(EXACT(RIGHT(Q70,5),"dB(A)"),IF(ABS(VALUE(LEFT(Q70,FIND(" ",Q70,1)))-R70)&lt;=0.5,1,-1),-1))</f>
        <v>1</v>
      </c>
      <c r="T70" s="12" t="s">
        <v>891</v>
      </c>
      <c r="U70" s="30">
        <f>4*(500+K70*10+L70)/(400+J70*10)/340*SQRT(8192/4/0.1)</f>
        <v>2.1517582695389654</v>
      </c>
      <c r="V70" s="24">
        <f>IF(T70="",0,IF(EXACT(RIGHT(T70,2)," s"),IF(ABS(VALUE(LEFT(T70,FIND(" ",T70,1)))-U70)&lt;=0.005,1,-1),-1))</f>
        <v>1</v>
      </c>
      <c r="W70" s="12">
        <v>4096</v>
      </c>
      <c r="X70" s="36">
        <f>8*2^(5+L70)</f>
        <v>4096</v>
      </c>
      <c r="Y70" s="24">
        <f>IF(W70="",0,IF(ABS(W70-X70)&lt;=1,1,-1))</f>
        <v>1</v>
      </c>
      <c r="Z70" s="12" t="s">
        <v>892</v>
      </c>
      <c r="AA70" s="26">
        <f>10*LOG10(10^((60+L70-39.4)/10)+10^((63+L70-26.2)/10)+10^((66+L70-16.1)/10)+10^((69+L70-8.6)/10)+10^((72+L70-3.2)/10)+10^((75+L70)/10)+10^((78+L70+1.2)/10)+10^((81+L70+1)/10)+10^((84+L70-1.1)/10)+10^((87+L70-6.6)/10))</f>
        <v>91.684202566927439</v>
      </c>
      <c r="AB70" s="24">
        <f>IF(Z70="",0,IF(EXACT(RIGHT(Z70,5),"dB(A)"),IF(ABS(VALUE(LEFT(Z70,FIND(" ",Z70,1)))-AA70)&lt;=0.2,1,-1),-1))</f>
        <v>1</v>
      </c>
      <c r="AC70" s="12" t="s">
        <v>893</v>
      </c>
      <c r="AD70" s="26">
        <f>10*LOG10((10^((60+L70)/10)*(1+J70)+10^((65+K70)/10)*(2+I70/3))/(1+J70+2+I70/3))</f>
        <v>66.033477150101959</v>
      </c>
      <c r="AE70" s="24">
        <f>IF(AC70="",0,IF(EXACT(RIGHT(AC70,5),"dB(A)"),IF(ABS(VALUE(LEFT(AC70,FIND(" ",AC70,1)))-AD70)&lt;=0.5,1,-1),-1))</f>
        <v>1</v>
      </c>
      <c r="AF70" s="12" t="s">
        <v>894</v>
      </c>
      <c r="AG70" s="26">
        <f>90+K70+10*LOG10(4/(0.16*(300+J70*20)/(1+L70/10)))+3</f>
        <v>85.389180660303694</v>
      </c>
      <c r="AH70" s="24">
        <f>IF(AF70="",0,IF(EXACT(RIGHT(AF70,2),"dB"),IF(ABS(VALUE(LEFT(AF70,FIND(" ",AF70,1)))-AG70)&lt;=0.5,1,-1),-1))</f>
        <v>1</v>
      </c>
      <c r="AI70" s="12" t="s">
        <v>895</v>
      </c>
      <c r="AJ70" s="26">
        <f>10*LOG10(3+40*(2*SQRT(((10+K70)/2)^2+(3+L70/10)^2)-(10+K70))*100*(1+J70)/340)</f>
        <v>16.54969232658906</v>
      </c>
      <c r="AK70" s="24">
        <f>IF(AI70="",0,IF(EXACT(RIGHT(AI70,2),"dB"),IF(ABS(VALUE(LEFT(AI70,FIND(" ",AI70,1)))-AJ70)&lt;=0.5,1,-1),-1))</f>
        <v>-1</v>
      </c>
      <c r="AL70" s="12" t="s">
        <v>896</v>
      </c>
      <c r="AM70" s="26">
        <f>80+L70-(80+K70)</f>
        <v>2</v>
      </c>
      <c r="AN70" s="24">
        <f>IF(AL70="",0,IF(EXACT(RIGHT(AL70,2),"dB"),IF(ABS(VALUE(LEFT(AL70,FIND(" ",AL70,1)))-AM70)&lt;=0.5,1,-1),-1))</f>
        <v>1</v>
      </c>
      <c r="AO70" s="12" t="s">
        <v>897</v>
      </c>
      <c r="AP70" s="30">
        <f>((2^(5+L70))/2+1)/48</f>
        <v>5.354166666666667</v>
      </c>
      <c r="AQ70" s="24">
        <f>IF(AO70="",0,IF(EXACT(RIGHT(AO70,2),"ms"),IF(ABS(VALUE(LEFT(AO70,FIND(" ",AO70,1)))-AP70)/AP70&lt;=0.02,1,-1),-1))</f>
        <v>1</v>
      </c>
      <c r="AR70" s="39">
        <f>M70+P70+S70+V70+Y70+AB70+AE70+AH70+AK70+AN70+AQ70</f>
        <v>10</v>
      </c>
    </row>
    <row r="71" spans="1:44" ht="13.2">
      <c r="A71" s="41">
        <v>69</v>
      </c>
      <c r="B71" s="42">
        <v>41992.766031851854</v>
      </c>
      <c r="C71" s="12" t="s">
        <v>950</v>
      </c>
      <c r="D71" s="12" t="s">
        <v>951</v>
      </c>
      <c r="E71" s="12">
        <v>239480</v>
      </c>
      <c r="F71" s="23">
        <v>1</v>
      </c>
      <c r="G71" s="23">
        <f>INT(E71/100000)</f>
        <v>2</v>
      </c>
      <c r="H71" s="23">
        <f>INT(($E71-100000*G71)/10000)</f>
        <v>3</v>
      </c>
      <c r="I71" s="23">
        <f>INT(($E71-100000*G71-10000*H71)/1000)</f>
        <v>9</v>
      </c>
      <c r="J71" s="23">
        <f>INT(($E71-100000*$G71-10000*$H71-1000*$I71)/100)</f>
        <v>4</v>
      </c>
      <c r="K71" s="23">
        <f>INT(($E71-100000*$G71-10000*$H71-1000*$I71-100*$J71)/10)</f>
        <v>8</v>
      </c>
      <c r="L71" s="23">
        <f>INT(($E71-100000*$G71-10000*$H71-1000*$I71-100*$J71-10*$K71))</f>
        <v>0</v>
      </c>
      <c r="M71" s="24">
        <v>2</v>
      </c>
      <c r="N71" s="12" t="s">
        <v>952</v>
      </c>
      <c r="O71" s="26">
        <f>65+K71+10*LOG10(70+L71)+10*LOG10(100/(100+J71*20))</f>
        <v>88.898255349109505</v>
      </c>
      <c r="P71" s="24">
        <f>IF(N71="",0,IF(EXACT(RIGHT(N71,5),"dB(A)"),IF(ABS(VALUE(LEFT(N71,FIND(" ",N71,1)))-O71)&lt;=0.5,1,-1),-1))</f>
        <v>1</v>
      </c>
      <c r="Q71" s="12" t="s">
        <v>953</v>
      </c>
      <c r="R71" s="26">
        <f>10*LOG10(10^((80+G71)/10)*(10+L71)*1000/16/3600+10^((85+H71)/10)*(10+K71)*3000/16/3600+10^((90+J71)/10)*(10+J71)*100/16/3600)</f>
        <v>88.325669078872394</v>
      </c>
      <c r="S71" s="24">
        <f>IF(Q71="",0,IF(EXACT(RIGHT(Q71,5),"dB(A)"),IF(ABS(VALUE(LEFT(Q71,FIND(" ",Q71,1)))-R71)&lt;=0.5,1,-1),-1))</f>
        <v>1</v>
      </c>
      <c r="T71" s="45" t="s">
        <v>954</v>
      </c>
      <c r="U71" s="30">
        <f>4*(500+K71*10+L71)/(400+J71*10)/340*SQRT(8192/4/0.1)</f>
        <v>2.2193273616254596</v>
      </c>
      <c r="V71" s="24">
        <f>IF(T71="",0,IF(EXACT(RIGHT(T71,2)," s"),IF(ABS(VALUE(LEFT(T71,FIND(" ",T71,1)))-U71)&lt;=0.005,1,-1),-1))</f>
        <v>1</v>
      </c>
      <c r="W71" s="12">
        <v>256</v>
      </c>
      <c r="X71" s="36">
        <f>8*2^(5+L71)</f>
        <v>256</v>
      </c>
      <c r="Y71" s="24">
        <f>IF(W71="",0,IF(ABS(W71-X71)&lt;=1,1,-1))</f>
        <v>1</v>
      </c>
      <c r="Z71" s="12" t="s">
        <v>955</v>
      </c>
      <c r="AA71" s="26">
        <f>10*LOG10(10^((60+L71-39.4)/10)+10^((63+L71-26.2)/10)+10^((66+L71-16.1)/10)+10^((69+L71-8.6)/10)+10^((72+L71-3.2)/10)+10^((75+L71)/10)+10^((78+L71+1.2)/10)+10^((81+L71+1)/10)+10^((84+L71-1.1)/10)+10^((87+L71-6.6)/10))</f>
        <v>87.684202566927468</v>
      </c>
      <c r="AB71" s="24">
        <f>IF(Z71="",0,IF(EXACT(RIGHT(Z71,5),"dB(A)"),IF(ABS(VALUE(LEFT(Z71,FIND(" ",Z71,1)))-AA71)&lt;=0.2,1,-1),-1))</f>
        <v>1</v>
      </c>
      <c r="AC71" s="12" t="s">
        <v>956</v>
      </c>
      <c r="AD71" s="26">
        <f>10*LOG10((10^((60+L71)/10)*(1+J71)+10^((65+K71)/10)*(2+I71/3))/(1+J71+2+I71/3))</f>
        <v>70.202084062502749</v>
      </c>
      <c r="AE71" s="24">
        <f>IF(AC71="",0,IF(EXACT(RIGHT(AC71,5),"dB(A)"),IF(ABS(VALUE(LEFT(AC71,FIND(" ",AC71,1)))-AD71)&lt;=0.5,1,-1),-1))</f>
        <v>1</v>
      </c>
      <c r="AF71" s="12" t="s">
        <v>957</v>
      </c>
      <c r="AG71" s="26">
        <f>90+K71+10*LOG10(4/(0.16*(300+J71*20)/(1+L71/10)))+3</f>
        <v>89.181564120552281</v>
      </c>
      <c r="AH71" s="24">
        <f>IF(AF71="",0,IF(EXACT(RIGHT(AF71,2),"dB"),IF(ABS(VALUE(LEFT(AF71,FIND(" ",AF71,1)))-AG71)&lt;=0.5,1,-1),-1))</f>
        <v>1</v>
      </c>
      <c r="AI71" s="12" t="s">
        <v>958</v>
      </c>
      <c r="AJ71" s="26">
        <f>10*LOG10(3+40*(2*SQRT(((10+K71)/2)^2+(3+L71/10)^2)-(10+K71))*100*(1+J71)/340)</f>
        <v>17.801333879804464</v>
      </c>
      <c r="AK71" s="24">
        <f>IF(AI71="",0,IF(EXACT(RIGHT(AI71,2),"dB"),IF(ABS(VALUE(LEFT(AI71,FIND(" ",AI71,1)))-AJ71)&lt;=0.5,1,-1),-1))</f>
        <v>1</v>
      </c>
      <c r="AL71" s="12" t="s">
        <v>959</v>
      </c>
      <c r="AM71" s="26">
        <f>80+L71-(80+K71)</f>
        <v>-8</v>
      </c>
      <c r="AN71" s="24">
        <f>IF(AL71="",0,IF(EXACT(RIGHT(AL71,2),"dB"),IF(ABS(VALUE(LEFT(AL71,FIND(" ",AL71,1)))-AM71)&lt;=0.5,1,-1),-1))</f>
        <v>1</v>
      </c>
      <c r="AO71" s="12" t="s">
        <v>960</v>
      </c>
      <c r="AP71" s="30">
        <f>((2^(5+L71))/2+1)/48</f>
        <v>0.35416666666666669</v>
      </c>
      <c r="AQ71" s="24">
        <f>IF(AO71="",0,IF(EXACT(RIGHT(AO71,2),"ms"),IF(ABS(VALUE(LEFT(AO71,FIND(" ",AO71,1)))-AP71)/AP71&lt;=0.02,1,-1),-1))</f>
        <v>-1</v>
      </c>
      <c r="AR71" s="39">
        <f>M71+P71+S71+V71+Y71+AB71+AE71+AH71+AK71+AN71+AQ71</f>
        <v>10</v>
      </c>
    </row>
    <row r="72" spans="1:44" ht="13.2">
      <c r="A72" s="41">
        <v>70</v>
      </c>
      <c r="B72" s="42">
        <v>41992.77098912037</v>
      </c>
      <c r="C72" s="12" t="s">
        <v>1356</v>
      </c>
      <c r="D72" s="12" t="s">
        <v>1357</v>
      </c>
      <c r="E72" s="12">
        <v>253994</v>
      </c>
      <c r="F72" s="23">
        <v>1</v>
      </c>
      <c r="G72" s="23">
        <f>INT(E72/100000)</f>
        <v>2</v>
      </c>
      <c r="H72" s="23">
        <f>INT(($E72-100000*G72)/10000)</f>
        <v>5</v>
      </c>
      <c r="I72" s="23">
        <f>INT(($E72-100000*G72-10000*H72)/1000)</f>
        <v>3</v>
      </c>
      <c r="J72" s="23">
        <f>INT(($E72-100000*$G72-10000*$H72-1000*$I72)/100)</f>
        <v>9</v>
      </c>
      <c r="K72" s="23">
        <f>INT(($E72-100000*$G72-10000*$H72-1000*$I72-100*$J72)/10)</f>
        <v>9</v>
      </c>
      <c r="L72" s="23">
        <f>INT(($E72-100000*$G72-10000*$H72-1000*$I72-100*$J72-10*$K72))</f>
        <v>4</v>
      </c>
      <c r="M72" s="24">
        <v>2</v>
      </c>
      <c r="N72" s="12" t="s">
        <v>1358</v>
      </c>
      <c r="O72" s="26">
        <f>65+K72+10*LOG10(70+L72)+10*LOG10(100/(100+J72*20))</f>
        <v>88.220736883887568</v>
      </c>
      <c r="P72" s="24">
        <f>IF(N72="",0,IF(EXACT(RIGHT(N72,5),"dB(A)"),IF(ABS(VALUE(LEFT(N72,FIND(" ",N72,1)))-O72)&lt;=0.5,1,-1),-1))</f>
        <v>1</v>
      </c>
      <c r="Q72" s="12" t="s">
        <v>1359</v>
      </c>
      <c r="R72" s="26">
        <f>10*LOG10(10^((80+G72)/10)*(10+L72)*1000/16/3600+10^((85+H72)/10)*(10+K72)*3000/16/3600+10^((90+J72)/10)*(10+J72)*100/16/3600)</f>
        <v>91.106311302427301</v>
      </c>
      <c r="S72" s="24">
        <f>IF(Q72="",0,IF(EXACT(RIGHT(Q72,5),"dB(A)"),IF(ABS(VALUE(LEFT(Q72,FIND(" ",Q72,1)))-R72)&lt;=0.5,1,-1),-1))</f>
        <v>1</v>
      </c>
      <c r="T72" s="12" t="s">
        <v>1360</v>
      </c>
      <c r="U72" s="30">
        <f>4*(500+K72*10+L72)/(400+J72*10)/340*SQRT(8192/4/0.1)</f>
        <v>2.040969033196447</v>
      </c>
      <c r="V72" s="24">
        <f>IF(T72="",0,IF(EXACT(RIGHT(T72,2)," s"),IF(ABS(VALUE(LEFT(T72,FIND(" ",T72,1)))-U72)&lt;=0.005,1,-1),-1))</f>
        <v>1</v>
      </c>
      <c r="W72" s="12">
        <v>4096</v>
      </c>
      <c r="X72" s="36">
        <f>8*2^(5+L72)</f>
        <v>4096</v>
      </c>
      <c r="Y72" s="24">
        <f>IF(W72="",0,IF(ABS(W72-X72)&lt;=1,1,-1))</f>
        <v>1</v>
      </c>
      <c r="Z72" s="12" t="s">
        <v>1361</v>
      </c>
      <c r="AA72" s="26">
        <f>10*LOG10(10^((60+L72-39.4)/10)+10^((63+L72-26.2)/10)+10^((66+L72-16.1)/10)+10^((69+L72-8.6)/10)+10^((72+L72-3.2)/10)+10^((75+L72)/10)+10^((78+L72+1.2)/10)+10^((81+L72+1)/10)+10^((84+L72-1.1)/10)+10^((87+L72-6.6)/10))</f>
        <v>91.684202566927439</v>
      </c>
      <c r="AB72" s="24">
        <f>IF(Z72="",0,IF(EXACT(RIGHT(Z72,5),"dB(A)"),IF(ABS(VALUE(LEFT(Z72,FIND(" ",Z72,1)))-AA72)&lt;=0.2,1,-1),-1))</f>
        <v>1</v>
      </c>
      <c r="AC72" s="12" t="s">
        <v>1362</v>
      </c>
      <c r="AD72" s="26">
        <f>10*LOG10((10^((60+L72)/10)*(1+J72)+10^((65+K72)/10)*(2+I72/3))/(1+J72+2+I72/3))</f>
        <v>68.881166390211263</v>
      </c>
      <c r="AE72" s="24">
        <f>IF(AC72="",0,IF(EXACT(RIGHT(AC72,5),"dB(A)"),IF(ABS(VALUE(LEFT(AC72,FIND(" ",AC72,1)))-AD72)&lt;=0.5,1,-1),-1))</f>
        <v>1</v>
      </c>
      <c r="AF72" s="12" t="s">
        <v>1363</v>
      </c>
      <c r="AG72" s="26">
        <f>90+K72+10*LOG10(4/(0.16*(300+J72*20)/(1+L72/10)))+3</f>
        <v>90.628268069746881</v>
      </c>
      <c r="AH72" s="24">
        <f>IF(AF72="",0,IF(EXACT(RIGHT(AF72,2),"dB"),IF(ABS(VALUE(LEFT(AF72,FIND(" ",AF72,1)))-AG72)&lt;=0.5,1,-1),-1))</f>
        <v>1</v>
      </c>
      <c r="AI72" s="12" t="s">
        <v>1364</v>
      </c>
      <c r="AJ72" s="26">
        <f>10*LOG10(3+40*(2*SQRT(((10+K72)/2)^2+(3+L72/10)^2)-(10+K72))*100*(1+J72)/340)</f>
        <v>21.51816122399531</v>
      </c>
      <c r="AK72" s="24">
        <f>IF(AI72="",0,IF(EXACT(RIGHT(AI72,2),"dB"),IF(ABS(VALUE(LEFT(AI72,FIND(" ",AI72,1)))-AJ72)&lt;=0.5,1,-1),-1))</f>
        <v>-1</v>
      </c>
      <c r="AL72" s="12" t="s">
        <v>1365</v>
      </c>
      <c r="AM72" s="26">
        <f>80+L72-(80+K72)</f>
        <v>-5</v>
      </c>
      <c r="AN72" s="24">
        <f>IF(AL72="",0,IF(EXACT(RIGHT(AL72,2),"dB"),IF(ABS(VALUE(LEFT(AL72,FIND(" ",AL72,1)))-AM72)&lt;=0.5,1,-1),-1))</f>
        <v>1</v>
      </c>
      <c r="AO72" s="45" t="s">
        <v>1366</v>
      </c>
      <c r="AP72" s="30">
        <f>((2^(5+L72))/2+1)/48</f>
        <v>5.354166666666667</v>
      </c>
      <c r="AQ72" s="24">
        <f>IF(AO72="",0,IF(EXACT(RIGHT(AO72,2),"ms"),IF(ABS(VALUE(LEFT(AO72,FIND(" ",AO72,1)))-AP72)/AP72&lt;=0.02,1,-1),-1))</f>
        <v>1</v>
      </c>
      <c r="AR72" s="39">
        <f>M72+P72+S72+V72+Y72+AB72+AE72+AH72+AK72+AN72+AQ72</f>
        <v>10</v>
      </c>
    </row>
    <row r="73" spans="1:44" ht="13.2">
      <c r="A73" s="41">
        <v>71</v>
      </c>
      <c r="B73" s="42">
        <v>41992.758878333334</v>
      </c>
      <c r="C73" s="12" t="s">
        <v>125</v>
      </c>
      <c r="D73" s="12" t="s">
        <v>126</v>
      </c>
      <c r="E73" s="12">
        <v>244163</v>
      </c>
      <c r="F73" s="23">
        <v>1</v>
      </c>
      <c r="G73" s="23">
        <f>INT(E73/100000)</f>
        <v>2</v>
      </c>
      <c r="H73" s="23">
        <f>INT(($E73-100000*G73)/10000)</f>
        <v>4</v>
      </c>
      <c r="I73" s="23">
        <f>INT(($E73-100000*G73-10000*H73)/1000)</f>
        <v>4</v>
      </c>
      <c r="J73" s="23">
        <f>INT(($E73-100000*$G73-10000*$H73-1000*$I73)/100)</f>
        <v>1</v>
      </c>
      <c r="K73" s="23">
        <f>INT(($E73-100000*$G73-10000*$H73-1000*$I73-100*$J73)/10)</f>
        <v>6</v>
      </c>
      <c r="L73" s="23">
        <f>INT(($E73-100000*$G73-10000*$H73-1000*$I73-100*$J73-10*$K73))</f>
        <v>3</v>
      </c>
      <c r="M73" s="24">
        <v>2</v>
      </c>
      <c r="N73" s="12" t="s">
        <v>127</v>
      </c>
      <c r="O73" s="26">
        <f>65+K73+10*LOG10(70+L73)+10*LOG10(100/(100+J73*20))</f>
        <v>88.841416140728313</v>
      </c>
      <c r="P73" s="24">
        <f>IF(N73="",0,IF(EXACT(RIGHT(N73,5),"dB(A)"),IF(ABS(VALUE(LEFT(N73,FIND(" ",N73,1)))-O73)&lt;=0.5,1,-1),-1))</f>
        <v>1</v>
      </c>
      <c r="Q73" s="12" t="s">
        <v>128</v>
      </c>
      <c r="R73" s="26">
        <f>10*LOG10(10^((80+G73)/10)*(10+L73)*1000/16/3600+10^((85+H73)/10)*(10+K73)*3000/16/3600+10^((90+J73)/10)*(10+J73)*100/16/3600)</f>
        <v>88.583881962597161</v>
      </c>
      <c r="S73" s="24">
        <f>IF(Q73="",0,IF(EXACT(RIGHT(Q73,5),"dB(A)"),IF(ABS(VALUE(LEFT(Q73,FIND(" ",Q73,1)))-R73)&lt;=0.5,1,-1),-1))</f>
        <v>1</v>
      </c>
      <c r="T73" s="12" t="s">
        <v>129</v>
      </c>
      <c r="U73" s="30">
        <f>4*(500+K73*10+L73)/(400+J73*10)/340*SQRT(8192/4/0.1)</f>
        <v>2.3119082170809877</v>
      </c>
      <c r="V73" s="24">
        <f>IF(T73="",0,IF(EXACT(RIGHT(T73,2)," s"),IF(ABS(VALUE(LEFT(T73,FIND(" ",T73,1)))-U73)&lt;=0.005,1,-1),-1))</f>
        <v>1</v>
      </c>
      <c r="W73" s="12">
        <v>2048</v>
      </c>
      <c r="X73" s="36">
        <f>8*2^(5+L73)</f>
        <v>2048</v>
      </c>
      <c r="Y73" s="24">
        <f>IF(W73="",0,IF(ABS(W73-X73)&lt;=1,1,-1))</f>
        <v>1</v>
      </c>
      <c r="Z73" s="43"/>
      <c r="AA73" s="26">
        <f>10*LOG10(10^((60+L73-39.4)/10)+10^((63+L73-26.2)/10)+10^((66+L73-16.1)/10)+10^((69+L73-8.6)/10)+10^((72+L73-3.2)/10)+10^((75+L73)/10)+10^((78+L73+1.2)/10)+10^((81+L73+1)/10)+10^((84+L73-1.1)/10)+10^((87+L73-6.6)/10))</f>
        <v>90.684202566927453</v>
      </c>
      <c r="AB73" s="24">
        <f>IF(Z73="",0,IF(EXACT(RIGHT(Z73,5),"dB(A)"),IF(ABS(VALUE(LEFT(Z73,FIND(" ",Z73,1)))-AA73)&lt;=0.2,1,-1),-1))</f>
        <v>0</v>
      </c>
      <c r="AC73" s="12" t="s">
        <v>130</v>
      </c>
      <c r="AD73" s="26">
        <f>10*LOG10((10^((60+L73)/10)*(1+J73)+10^((65+K73)/10)*(2+I73/3))/(1+J73+2+I73/3))</f>
        <v>69.353312548359639</v>
      </c>
      <c r="AE73" s="24">
        <f>IF(AC73="",0,IF(EXACT(RIGHT(AC73,5),"dB(A)"),IF(ABS(VALUE(LEFT(AC73,FIND(" ",AC73,1)))-AD73)&lt;=0.5,1,-1),-1))</f>
        <v>1</v>
      </c>
      <c r="AF73" s="12" t="s">
        <v>131</v>
      </c>
      <c r="AG73" s="26">
        <f>90+K73+10*LOG10(4/(0.16*(300+J73*20)/(1+L73/10)))+3</f>
        <v>89.067333826589689</v>
      </c>
      <c r="AH73" s="24">
        <f>IF(AF73="",0,IF(EXACT(RIGHT(AF73,2),"dB"),IF(ABS(VALUE(LEFT(AF73,FIND(" ",AF73,1)))-AG73)&lt;=0.5,1,-1),-1))</f>
        <v>1</v>
      </c>
      <c r="AI73" s="12" t="s">
        <v>132</v>
      </c>
      <c r="AJ73" s="26">
        <f>10*LOG10(3+40*(2*SQRT(((10+K73)/2)^2+(3+L73/10)^2)-(10+K73))*100*(1+J73)/340)</f>
        <v>15.285542719294314</v>
      </c>
      <c r="AK73" s="24">
        <f>IF(AI73="",0,IF(EXACT(RIGHT(AI73,2),"dB"),IF(ABS(VALUE(LEFT(AI73,FIND(" ",AI73,1)))-AJ73)&lt;=0.5,1,-1),-1))</f>
        <v>1</v>
      </c>
      <c r="AL73" s="12" t="s">
        <v>133</v>
      </c>
      <c r="AM73" s="26">
        <f>80+L73-(80+K73)</f>
        <v>-3</v>
      </c>
      <c r="AN73" s="24">
        <f>IF(AL73="",0,IF(EXACT(RIGHT(AL73,2),"dB"),IF(ABS(VALUE(LEFT(AL73,FIND(" ",AL73,1)))-AM73)&lt;=0.5,1,-1),-1))</f>
        <v>1</v>
      </c>
      <c r="AO73" s="12" t="s">
        <v>134</v>
      </c>
      <c r="AP73" s="30">
        <f>((2^(5+L73))/2+1)/48</f>
        <v>2.6875</v>
      </c>
      <c r="AQ73" s="24">
        <f>IF(AO73="",0,IF(EXACT(RIGHT(AO73,2),"ms"),IF(ABS(VALUE(LEFT(AO73,FIND(" ",AO73,1)))-AP73)/AP73&lt;=0.02,1,-1),-1))</f>
        <v>-1</v>
      </c>
      <c r="AR73" s="39">
        <f>M73+P73+S73+V73+Y73+AB73+AE73+AH73+AK73+AN73+AQ73</f>
        <v>9</v>
      </c>
    </row>
    <row r="74" spans="1:44" ht="13.2">
      <c r="A74" s="41">
        <v>72</v>
      </c>
      <c r="B74" s="42">
        <v>41992.764647060183</v>
      </c>
      <c r="C74" s="12" t="s">
        <v>665</v>
      </c>
      <c r="D74" s="12" t="s">
        <v>666</v>
      </c>
      <c r="E74" s="12">
        <v>253562</v>
      </c>
      <c r="F74" s="23">
        <v>1</v>
      </c>
      <c r="G74" s="23">
        <f>INT(E74/100000)</f>
        <v>2</v>
      </c>
      <c r="H74" s="23">
        <f>INT(($E74-100000*G74)/10000)</f>
        <v>5</v>
      </c>
      <c r="I74" s="23">
        <f>INT(($E74-100000*G74-10000*H74)/1000)</f>
        <v>3</v>
      </c>
      <c r="J74" s="23">
        <f>INT(($E74-100000*$G74-10000*$H74-1000*$I74)/100)</f>
        <v>5</v>
      </c>
      <c r="K74" s="23">
        <f>INT(($E74-100000*$G74-10000*$H74-1000*$I74-100*$J74)/10)</f>
        <v>6</v>
      </c>
      <c r="L74" s="23">
        <f>INT(($E74-100000*$G74-10000*$H74-1000*$I74-100*$J74-10*$K74))</f>
        <v>2</v>
      </c>
      <c r="M74" s="24">
        <v>2</v>
      </c>
      <c r="N74" s="12" t="s">
        <v>667</v>
      </c>
      <c r="O74" s="26">
        <f>65+K74+10*LOG10(70+L74)+10*LOG10(100/(100+J74*20))</f>
        <v>86.563025007672877</v>
      </c>
      <c r="P74" s="24">
        <f>IF(N74="",0,IF(EXACT(RIGHT(N74,5),"dB(A)"),IF(ABS(VALUE(LEFT(N74,FIND(" ",N74,1)))-O74)&lt;=0.5,1,-1),-1))</f>
        <v>1</v>
      </c>
      <c r="Q74" s="12" t="s">
        <v>668</v>
      </c>
      <c r="R74" s="26">
        <f>10*LOG10(10^((80+G74)/10)*(10+L74)*1000/16/3600+10^((85+H74)/10)*(10+K74)*3000/16/3600+10^((90+J74)/10)*(10+J74)*100/16/3600)</f>
        <v>89.771302383187702</v>
      </c>
      <c r="S74" s="24">
        <f>IF(Q74="",0,IF(EXACT(RIGHT(Q74,5),"dB(A)"),IF(ABS(VALUE(LEFT(Q74,FIND(" ",Q74,1)))-R74)&lt;=0.5,1,-1),-1))</f>
        <v>1</v>
      </c>
      <c r="T74" s="45" t="s">
        <v>669</v>
      </c>
      <c r="U74" s="30">
        <f>4*(500+K74*10+L74)/(400+J74*10)/340*SQRT(8192/4/0.1)</f>
        <v>2.1026638696656845</v>
      </c>
      <c r="V74" s="24">
        <f>IF(T74="",0,IF(EXACT(RIGHT(T74,2)," s"),IF(ABS(VALUE(LEFT(T74,FIND(" ",T74,1)))-U74)&lt;=0.005,1,-1),-1))</f>
        <v>-1</v>
      </c>
      <c r="W74" s="12">
        <v>1024</v>
      </c>
      <c r="X74" s="36">
        <f>8*2^(5+L74)</f>
        <v>1024</v>
      </c>
      <c r="Y74" s="24">
        <f>IF(W74="",0,IF(ABS(W74-X74)&lt;=1,1,-1))</f>
        <v>1</v>
      </c>
      <c r="Z74" s="12" t="s">
        <v>670</v>
      </c>
      <c r="AA74" s="26">
        <f>10*LOG10(10^((60+L74-39.4)/10)+10^((63+L74-26.2)/10)+10^((66+L74-16.1)/10)+10^((69+L74-8.6)/10)+10^((72+L74-3.2)/10)+10^((75+L74)/10)+10^((78+L74+1.2)/10)+10^((81+L74+1)/10)+10^((84+L74-1.1)/10)+10^((87+L74-6.6)/10))</f>
        <v>89.684202566927453</v>
      </c>
      <c r="AB74" s="24">
        <f>IF(Z74="",0,IF(EXACT(RIGHT(Z74,5),"dB(A)"),IF(ABS(VALUE(LEFT(Z74,FIND(" ",Z74,1)))-AA74)&lt;=0.2,1,-1),-1))</f>
        <v>1</v>
      </c>
      <c r="AC74" s="12" t="s">
        <v>671</v>
      </c>
      <c r="AD74" s="26">
        <f>10*LOG10((10^((60+L74)/10)*(1+J74)+10^((65+K74)/10)*(2+I74/3))/(1+J74+2+I74/3))</f>
        <v>67.204085170000553</v>
      </c>
      <c r="AE74" s="24">
        <f>IF(AC74="",0,IF(EXACT(RIGHT(AC74,5),"dB(A)"),IF(ABS(VALUE(LEFT(AC74,FIND(" ",AC74,1)))-AD74)&lt;=0.5,1,-1),-1))</f>
        <v>1</v>
      </c>
      <c r="AF74" s="12" t="s">
        <v>672</v>
      </c>
      <c r="AG74" s="26">
        <f>90+K74+10*LOG10(4/(0.16*(300+J74*20)/(1+L74/10)))+3</f>
        <v>87.750612633917001</v>
      </c>
      <c r="AH74" s="24">
        <f>IF(AF74="",0,IF(EXACT(RIGHT(AF74,2),"dB"),IF(ABS(VALUE(LEFT(AF74,FIND(" ",AF74,1)))-AG74)&lt;=0.5,1,-1),-1))</f>
        <v>1</v>
      </c>
      <c r="AI74" s="43"/>
      <c r="AJ74" s="26">
        <f>10*LOG10(3+40*(2*SQRT(((10+K74)/2)^2+(3+L74/10)^2)-(10+K74))*100*(1+J74)/340)</f>
        <v>19.542518365643815</v>
      </c>
      <c r="AK74" s="24">
        <f>IF(AI74="",0,IF(EXACT(RIGHT(AI74,2),"dB"),IF(ABS(VALUE(LEFT(AI74,FIND(" ",AI74,1)))-AJ74)&lt;=0.5,1,-1),-1))</f>
        <v>0</v>
      </c>
      <c r="AL74" s="12" t="s">
        <v>673</v>
      </c>
      <c r="AM74" s="26">
        <f>80+L74-(80+K74)</f>
        <v>-4</v>
      </c>
      <c r="AN74" s="24">
        <f>IF(AL74="",0,IF(EXACT(RIGHT(AL74,2),"dB"),IF(ABS(VALUE(LEFT(AL74,FIND(" ",AL74,1)))-AM74)&lt;=0.5,1,-1),-1))</f>
        <v>1</v>
      </c>
      <c r="AO74" s="12" t="s">
        <v>674</v>
      </c>
      <c r="AP74" s="30">
        <f>((2^(5+L74))/2+1)/48</f>
        <v>1.3541666666666667</v>
      </c>
      <c r="AQ74" s="24">
        <f>IF(AO74="",0,IF(EXACT(RIGHT(AO74,2),"ms"),IF(ABS(VALUE(LEFT(AO74,FIND(" ",AO74,1)))-AP74)/AP74&lt;=0.02,1,-1),-1))</f>
        <v>1</v>
      </c>
      <c r="AR74" s="39">
        <f>M74+P74+S74+V74+Y74+AB74+AE74+AH74+AK74+AN74+AQ74</f>
        <v>9</v>
      </c>
    </row>
    <row r="75" spans="1:44" ht="13.2">
      <c r="A75" s="41">
        <v>73</v>
      </c>
      <c r="B75" s="42">
        <v>41992.767835706021</v>
      </c>
      <c r="C75" s="12" t="s">
        <v>1222</v>
      </c>
      <c r="D75" s="12" t="s">
        <v>1223</v>
      </c>
      <c r="E75" s="12">
        <v>258964</v>
      </c>
      <c r="F75" s="23">
        <v>1</v>
      </c>
      <c r="G75" s="23">
        <f>INT(E75/100000)</f>
        <v>2</v>
      </c>
      <c r="H75" s="23">
        <f>INT(($E75-100000*G75)/10000)</f>
        <v>5</v>
      </c>
      <c r="I75" s="23">
        <f>INT(($E75-100000*G75-10000*H75)/1000)</f>
        <v>8</v>
      </c>
      <c r="J75" s="23">
        <f>INT(($E75-100000*$G75-10000*$H75-1000*$I75)/100)</f>
        <v>9</v>
      </c>
      <c r="K75" s="23">
        <f>INT(($E75-100000*$G75-10000*$H75-1000*$I75-100*$J75)/10)</f>
        <v>6</v>
      </c>
      <c r="L75" s="23">
        <f>INT(($E75-100000*$G75-10000*$H75-1000*$I75-100*$J75-10*$K75))</f>
        <v>4</v>
      </c>
      <c r="M75" s="24">
        <v>2</v>
      </c>
      <c r="N75" s="12" t="s">
        <v>1224</v>
      </c>
      <c r="O75" s="26">
        <f>65+K75+10*LOG10(70+L75)+10*LOG10(100/(100+J75*20))</f>
        <v>85.220736883887568</v>
      </c>
      <c r="P75" s="24">
        <f>IF(N75="",0,IF(EXACT(RIGHT(N75,5),"dB(A)"),IF(ABS(VALUE(LEFT(N75,FIND(" ",N75,1)))-O75)&lt;=0.5,1,-1),-1))</f>
        <v>1</v>
      </c>
      <c r="Q75" s="12" t="s">
        <v>1225</v>
      </c>
      <c r="R75" s="26">
        <f>10*LOG10(10^((80+G75)/10)*(10+L75)*1000/16/3600+10^((85+H75)/10)*(10+K75)*3000/16/3600+10^((90+J75)/10)*(10+J75)*100/16/3600)</f>
        <v>90.545644280734024</v>
      </c>
      <c r="S75" s="24">
        <f>IF(Q75="",0,IF(EXACT(RIGHT(Q75,5),"dB(A)"),IF(ABS(VALUE(LEFT(Q75,FIND(" ",Q75,1)))-R75)&lt;=0.5,1,-1),-1))</f>
        <v>1</v>
      </c>
      <c r="T75" s="12" t="s">
        <v>1226</v>
      </c>
      <c r="U75" s="30">
        <f>4*(500+K75*10+L75)/(400+J75*10)/340*SQRT(8192/4/0.1)</f>
        <v>1.9378897890956162</v>
      </c>
      <c r="V75" s="24">
        <f>IF(T75="",0,IF(EXACT(RIGHT(T75,2)," s"),IF(ABS(VALUE(LEFT(T75,FIND(" ",T75,1)))-U75)&lt;=0.005,1,-1),-1))</f>
        <v>1</v>
      </c>
      <c r="W75" s="12">
        <v>4096</v>
      </c>
      <c r="X75" s="36">
        <f>8*2^(5+L75)</f>
        <v>4096</v>
      </c>
      <c r="Y75" s="24">
        <f>IF(W75="",0,IF(ABS(W75-X75)&lt;=1,1,-1))</f>
        <v>1</v>
      </c>
      <c r="Z75" s="43"/>
      <c r="AA75" s="26">
        <f>10*LOG10(10^((60+L75-39.4)/10)+10^((63+L75-26.2)/10)+10^((66+L75-16.1)/10)+10^((69+L75-8.6)/10)+10^((72+L75-3.2)/10)+10^((75+L75)/10)+10^((78+L75+1.2)/10)+10^((81+L75+1)/10)+10^((84+L75-1.1)/10)+10^((87+L75-6.6)/10))</f>
        <v>91.684202566927439</v>
      </c>
      <c r="AB75" s="24">
        <f>IF(Z75="",0,IF(EXACT(RIGHT(Z75,5),"dB(A)"),IF(ABS(VALUE(LEFT(Z75,FIND(" ",Z75,1)))-AA75)&lt;=0.2,1,-1),-1))</f>
        <v>0</v>
      </c>
      <c r="AC75" s="12" t="s">
        <v>1227</v>
      </c>
      <c r="AD75" s="26">
        <f>10*LOG10((10^((60+L75)/10)*(1+J75)+10^((65+K75)/10)*(2+I75/3))/(1+J75+2+I75/3))</f>
        <v>67.572685768906155</v>
      </c>
      <c r="AE75" s="24">
        <f>IF(AC75="",0,IF(EXACT(RIGHT(AC75,5),"dB(A)"),IF(ABS(VALUE(LEFT(AC75,FIND(" ",AC75,1)))-AD75)&lt;=0.5,1,-1),-1))</f>
        <v>1</v>
      </c>
      <c r="AF75" s="12" t="s">
        <v>1228</v>
      </c>
      <c r="AG75" s="26">
        <f>90+K75+10*LOG10(4/(0.16*(300+J75*20)/(1+L75/10)))+3</f>
        <v>87.628268069746881</v>
      </c>
      <c r="AH75" s="24">
        <f>IF(AF75="",0,IF(EXACT(RIGHT(AF75,2),"dB"),IF(ABS(VALUE(LEFT(AF75,FIND(" ",AF75,1)))-AG75)&lt;=0.5,1,-1),-1))</f>
        <v>1</v>
      </c>
      <c r="AI75" s="12" t="s">
        <v>1229</v>
      </c>
      <c r="AJ75" s="26">
        <f>10*LOG10(3+40*(2*SQRT(((10+K75)/2)^2+(3+L75/10)^2)-(10+K75))*100*(1+J75)/340)</f>
        <v>22.199698827447524</v>
      </c>
      <c r="AK75" s="24">
        <f>IF(AI75="",0,IF(EXACT(RIGHT(AI75,2),"dB"),IF(ABS(VALUE(LEFT(AI75,FIND(" ",AI75,1)))-AJ75)&lt;=0.5,1,-1),-1))</f>
        <v>1</v>
      </c>
      <c r="AL75" s="12" t="s">
        <v>1230</v>
      </c>
      <c r="AM75" s="26">
        <f>80+L75-(80+K75)</f>
        <v>-2</v>
      </c>
      <c r="AN75" s="24">
        <f>IF(AL75="",0,IF(EXACT(RIGHT(AL75,2),"dB"),IF(ABS(VALUE(LEFT(AL75,FIND(" ",AL75,1)))-AM75)&lt;=0.5,1,-1),-1))</f>
        <v>1</v>
      </c>
      <c r="AO75" s="12" t="s">
        <v>1231</v>
      </c>
      <c r="AP75" s="30">
        <f>((2^(5+L75))/2+1)/48</f>
        <v>5.354166666666667</v>
      </c>
      <c r="AQ75" s="24">
        <f>IF(AO75="",0,IF(EXACT(RIGHT(AO75,2),"ms"),IF(ABS(VALUE(LEFT(AO75,FIND(" ",AO75,1)))-AP75)/AP75&lt;=0.02,1,-1),-1))</f>
        <v>-1</v>
      </c>
      <c r="AR75" s="39">
        <f>M75+P75+S75+V75+Y75+AB75+AE75+AH75+AK75+AN75+AQ75</f>
        <v>9</v>
      </c>
    </row>
    <row r="76" spans="1:44" ht="13.2">
      <c r="A76" s="41">
        <v>74</v>
      </c>
      <c r="B76" s="42">
        <v>41992.767211909719</v>
      </c>
      <c r="C76" s="12" t="s">
        <v>1138</v>
      </c>
      <c r="D76" s="12" t="s">
        <v>1139</v>
      </c>
      <c r="E76" s="12">
        <v>240223</v>
      </c>
      <c r="F76" s="23">
        <v>1</v>
      </c>
      <c r="G76" s="23">
        <f>INT(E76/100000)</f>
        <v>2</v>
      </c>
      <c r="H76" s="23">
        <f>INT(($E76-100000*G76)/10000)</f>
        <v>4</v>
      </c>
      <c r="I76" s="23">
        <f>INT(($E76-100000*G76-10000*H76)/1000)</f>
        <v>0</v>
      </c>
      <c r="J76" s="23">
        <f>INT(($E76-100000*$G76-10000*$H76-1000*$I76)/100)</f>
        <v>2</v>
      </c>
      <c r="K76" s="23">
        <f>INT(($E76-100000*$G76-10000*$H76-1000*$I76-100*$J76)/10)</f>
        <v>2</v>
      </c>
      <c r="L76" s="23">
        <f>INT(($E76-100000*$G76-10000*$H76-1000*$I76-100*$J76-10*$K76))</f>
        <v>3</v>
      </c>
      <c r="M76" s="24">
        <v>2</v>
      </c>
      <c r="N76" s="12" t="s">
        <v>1140</v>
      </c>
      <c r="O76" s="26">
        <f>65+K76+10*LOG10(70+L76)+10*LOG10(100/(100+J76*20))</f>
        <v>84.171948244422182</v>
      </c>
      <c r="P76" s="24">
        <f>IF(N76="",0,IF(EXACT(RIGHT(N76,5),"dB(A)"),IF(ABS(VALUE(LEFT(N76,FIND(" ",N76,1)))-O76)&lt;=0.5,1,-1),-1))</f>
        <v>1</v>
      </c>
      <c r="Q76" s="12" t="s">
        <v>1141</v>
      </c>
      <c r="R76" s="26">
        <f>10*LOG10(10^((80+G76)/10)*(10+L76)*1000/16/3600+10^((85+H76)/10)*(10+K76)*3000/16/3600+10^((90+J76)/10)*(10+J76)*100/16/3600)</f>
        <v>87.522358947770641</v>
      </c>
      <c r="S76" s="24">
        <f>IF(Q76="",0,IF(EXACT(RIGHT(Q76,5),"dB(A)"),IF(ABS(VALUE(LEFT(Q76,FIND(" ",Q76,1)))-R76)&lt;=0.5,1,-1),-1))</f>
        <v>1</v>
      </c>
      <c r="T76" s="12" t="s">
        <v>1142</v>
      </c>
      <c r="U76" s="30">
        <f>4*(500+K76*10+L76)/(400+J76*10)/340*SQRT(8192/4/0.1)</f>
        <v>2.0965172925174502</v>
      </c>
      <c r="V76" s="24">
        <f>IF(T76="",0,IF(EXACT(RIGHT(T76,2)," s"),IF(ABS(VALUE(LEFT(T76,FIND(" ",T76,1)))-U76)&lt;=0.005,1,-1),-1))</f>
        <v>1</v>
      </c>
      <c r="W76" s="12">
        <v>2048</v>
      </c>
      <c r="X76" s="36">
        <f>8*2^(5+L76)</f>
        <v>2048</v>
      </c>
      <c r="Y76" s="24">
        <f>IF(W76="",0,IF(ABS(W76-X76)&lt;=1,1,-1))</f>
        <v>1</v>
      </c>
      <c r="Z76" s="43"/>
      <c r="AA76" s="26">
        <f>10*LOG10(10^((60+L76-39.4)/10)+10^((63+L76-26.2)/10)+10^((66+L76-16.1)/10)+10^((69+L76-8.6)/10)+10^((72+L76-3.2)/10)+10^((75+L76)/10)+10^((78+L76+1.2)/10)+10^((81+L76+1)/10)+10^((84+L76-1.1)/10)+10^((87+L76-6.6)/10))</f>
        <v>90.684202566927453</v>
      </c>
      <c r="AB76" s="24">
        <f>IF(Z76="",0,IF(EXACT(RIGHT(Z76,5),"dB(A)"),IF(ABS(VALUE(LEFT(Z76,FIND(" ",Z76,1)))-AA76)&lt;=0.2,1,-1),-1))</f>
        <v>0</v>
      </c>
      <c r="AC76" s="12" t="s">
        <v>1143</v>
      </c>
      <c r="AD76" s="26">
        <f>10*LOG10((10^((60+L76)/10)*(1+J76)+10^((65+K76)/10)*(2+I76/3))/(1+J76+2+I76/3))</f>
        <v>65.05408621841147</v>
      </c>
      <c r="AE76" s="24">
        <f>IF(AC76="",0,IF(EXACT(RIGHT(AC76,5),"dB(A)"),IF(ABS(VALUE(LEFT(AC76,FIND(" ",AC76,1)))-AD76)&lt;=0.5,1,-1),-1))</f>
        <v>1</v>
      </c>
      <c r="AF76" s="12" t="s">
        <v>1144</v>
      </c>
      <c r="AG76" s="26">
        <f>90+K76+10*LOG10(4/(0.16*(300+J76*20)/(1+L76/10)))+3</f>
        <v>84.804044439366194</v>
      </c>
      <c r="AH76" s="24">
        <f>IF(AF76="",0,IF(EXACT(RIGHT(AF76,2),"dB"),IF(ABS(VALUE(LEFT(AF76,FIND(" ",AF76,1)))-AG76)&lt;=0.5,1,-1),-1))</f>
        <v>-1</v>
      </c>
      <c r="AI76" s="45" t="s">
        <v>1145</v>
      </c>
      <c r="AJ76" s="26">
        <f>10*LOG10(3+40*(2*SQRT(((10+K76)/2)^2+(3+L76/10)^2)-(10+K76))*100*(1+J76)/340)</f>
        <v>17.981844584579136</v>
      </c>
      <c r="AK76" s="24">
        <f>IF(AI76="",0,IF(EXACT(RIGHT(AI76,2),"dB"),IF(ABS(VALUE(LEFT(AI76,FIND(" ",AI76,1)))-AJ76)&lt;=0.5,1,-1),-1))</f>
        <v>1</v>
      </c>
      <c r="AL76" s="12" t="s">
        <v>1146</v>
      </c>
      <c r="AM76" s="26">
        <f>80+L76-(80+K76)</f>
        <v>1</v>
      </c>
      <c r="AN76" s="24">
        <f>IF(AL76="",0,IF(EXACT(RIGHT(AL76,2),"dB"),IF(ABS(VALUE(LEFT(AL76,FIND(" ",AL76,1)))-AM76)&lt;=0.5,1,-1),-1))</f>
        <v>1</v>
      </c>
      <c r="AO76" s="12" t="s">
        <v>1147</v>
      </c>
      <c r="AP76" s="30">
        <f>((2^(5+L76))/2+1)/48</f>
        <v>2.6875</v>
      </c>
      <c r="AQ76" s="24">
        <f>IF(AO76="",0,IF(EXACT(RIGHT(AO76,2),"ms"),IF(ABS(VALUE(LEFT(AO76,FIND(" ",AO76,1)))-AP76)/AP76&lt;=0.02,1,-1),-1))</f>
        <v>1</v>
      </c>
      <c r="AR76" s="39">
        <f>M76+P76+S76+V76+Y76+AB76+AE76+AH76+AK76+AN76+AQ76</f>
        <v>9</v>
      </c>
    </row>
    <row r="77" spans="1:44" ht="13.2">
      <c r="A77" s="41">
        <v>75</v>
      </c>
      <c r="B77" s="42">
        <v>41992.767968541666</v>
      </c>
      <c r="C77" s="12" t="s">
        <v>1232</v>
      </c>
      <c r="D77" s="12" t="s">
        <v>1233</v>
      </c>
      <c r="E77" s="12">
        <v>240912</v>
      </c>
      <c r="F77" s="23">
        <v>1</v>
      </c>
      <c r="G77" s="23">
        <f>INT(E77/100000)</f>
        <v>2</v>
      </c>
      <c r="H77" s="23">
        <f>INT(($E77-100000*G77)/10000)</f>
        <v>4</v>
      </c>
      <c r="I77" s="23">
        <f>INT(($E77-100000*G77-10000*H77)/1000)</f>
        <v>0</v>
      </c>
      <c r="J77" s="23">
        <f>INT(($E77-100000*$G77-10000*$H77-1000*$I77)/100)</f>
        <v>9</v>
      </c>
      <c r="K77" s="23">
        <f>INT(($E77-100000*$G77-10000*$H77-1000*$I77-100*$J77)/10)</f>
        <v>1</v>
      </c>
      <c r="L77" s="23">
        <f>INT(($E77-100000*$G77-10000*$H77-1000*$I77-100*$J77-10*$K77))</f>
        <v>2</v>
      </c>
      <c r="M77" s="24">
        <v>2</v>
      </c>
      <c r="N77" s="12" t="s">
        <v>1234</v>
      </c>
      <c r="O77" s="26">
        <f>65+K77+10*LOG10(70+L77)+10*LOG10(100/(100+J77*20))</f>
        <v>80.101744650890495</v>
      </c>
      <c r="P77" s="24">
        <f>IF(N77="",0,IF(EXACT(RIGHT(N77,5),"dB(A)"),IF(ABS(VALUE(LEFT(N77,FIND(" ",N77,1)))-O77)&lt;=0.5,1,-1),-1))</f>
        <v>1</v>
      </c>
      <c r="Q77" s="12" t="s">
        <v>1235</v>
      </c>
      <c r="R77" s="26">
        <f>10*LOG10(10^((80+G77)/10)*(10+L77)*1000/16/3600+10^((85+H77)/10)*(10+K77)*3000/16/3600+10^((90+J77)/10)*(10+J77)*100/16/3600)</f>
        <v>88.751310267605163</v>
      </c>
      <c r="S77" s="24">
        <f>IF(Q77="",0,IF(EXACT(RIGHT(Q77,5),"dB(A)"),IF(ABS(VALUE(LEFT(Q77,FIND(" ",Q77,1)))-R77)&lt;=0.5,1,-1),-1))</f>
        <v>1</v>
      </c>
      <c r="T77" s="12" t="s">
        <v>1236</v>
      </c>
      <c r="U77" s="30">
        <f>4*(500+K77*10+L77)/(400+J77*10)/340*SQRT(8192/4/0.1)</f>
        <v>1.7592190993208432</v>
      </c>
      <c r="V77" s="24">
        <f>IF(T77="",0,IF(EXACT(RIGHT(T77,2)," s"),IF(ABS(VALUE(LEFT(T77,FIND(" ",T77,1)))-U77)&lt;=0.005,1,-1),-1))</f>
        <v>1</v>
      </c>
      <c r="W77" s="12">
        <v>1024</v>
      </c>
      <c r="X77" s="36">
        <f>8*2^(5+L77)</f>
        <v>1024</v>
      </c>
      <c r="Y77" s="24">
        <f>IF(W77="",0,IF(ABS(W77-X77)&lt;=1,1,-1))</f>
        <v>1</v>
      </c>
      <c r="Z77" s="43"/>
      <c r="AA77" s="26">
        <f>10*LOG10(10^((60+L77-39.4)/10)+10^((63+L77-26.2)/10)+10^((66+L77-16.1)/10)+10^((69+L77-8.6)/10)+10^((72+L77-3.2)/10)+10^((75+L77)/10)+10^((78+L77+1.2)/10)+10^((81+L77+1)/10)+10^((84+L77-1.1)/10)+10^((87+L77-6.6)/10))</f>
        <v>89.684202566927453</v>
      </c>
      <c r="AB77" s="24">
        <f>IF(Z77="",0,IF(EXACT(RIGHT(Z77,5),"dB(A)"),IF(ABS(VALUE(LEFT(Z77,FIND(" ",Z77,1)))-AA77)&lt;=0.2,1,-1),-1))</f>
        <v>0</v>
      </c>
      <c r="AC77" s="45" t="s">
        <v>1237</v>
      </c>
      <c r="AD77" s="26">
        <f>10*LOG10((10^((60+L77)/10)*(1+J77)+10^((65+K77)/10)*(2+I77/3))/(1+J77+2+I77/3))</f>
        <v>62.975977630408728</v>
      </c>
      <c r="AE77" s="24">
        <f>IF(AC77="",0,IF(EXACT(RIGHT(AC77,5),"dB(A)"),IF(ABS(VALUE(LEFT(AC77,FIND(" ",AC77,1)))-AD77)&lt;=0.5,1,-1),-1))</f>
        <v>1</v>
      </c>
      <c r="AF77" s="45" t="s">
        <v>1238</v>
      </c>
      <c r="AG77" s="26">
        <f>90+K77+10*LOG10(4/(0.16*(300+J77*20)/(1+L77/10)))+3</f>
        <v>81.95880017344075</v>
      </c>
      <c r="AH77" s="24">
        <f>IF(AF77="",0,IF(EXACT(RIGHT(AF77,2),"dB"),IF(ABS(VALUE(LEFT(AF77,FIND(" ",AF77,1)))-AG77)&lt;=0.5,1,-1),-1))</f>
        <v>1</v>
      </c>
      <c r="AI77" s="12" t="s">
        <v>1239</v>
      </c>
      <c r="AJ77" s="26">
        <f>10*LOG10(3+40*(2*SQRT(((10+K77)/2)^2+(3+L77/10)^2)-(10+K77))*100*(1+J77)/340)</f>
        <v>23.140781444761259</v>
      </c>
      <c r="AK77" s="24">
        <f>IF(AI77="",0,IF(EXACT(RIGHT(AI77,2),"dB"),IF(ABS(VALUE(LEFT(AI77,FIND(" ",AI77,1)))-AJ77)&lt;=0.5,1,-1),-1))</f>
        <v>1</v>
      </c>
      <c r="AL77" s="12" t="s">
        <v>1240</v>
      </c>
      <c r="AM77" s="26">
        <f>80+L77-(80+K77)</f>
        <v>1</v>
      </c>
      <c r="AN77" s="24">
        <f>IF(AL77="",0,IF(EXACT(RIGHT(AL77,2),"dB"),IF(ABS(VALUE(LEFT(AL77,FIND(" ",AL77,1)))-AM77)&lt;=0.5,1,-1),-1))</f>
        <v>1</v>
      </c>
      <c r="AO77" s="12" t="s">
        <v>1241</v>
      </c>
      <c r="AP77" s="30">
        <f>((2^(5+L77))/2+1)/48</f>
        <v>1.3541666666666667</v>
      </c>
      <c r="AQ77" s="24">
        <f>IF(AO77="",0,IF(EXACT(RIGHT(AO77,2),"ms"),IF(ABS(VALUE(LEFT(AO77,FIND(" ",AO77,1)))-AP77)/AP77&lt;=0.02,1,-1),-1))</f>
        <v>-1</v>
      </c>
      <c r="AR77" s="39">
        <f>M77+P77+S77+V77+Y77+AB77+AE77+AH77+AK77+AN77+AQ77</f>
        <v>9</v>
      </c>
    </row>
    <row r="78" spans="1:44" ht="13.2">
      <c r="A78" s="41">
        <v>76</v>
      </c>
      <c r="B78" s="42">
        <v>41992.767411956011</v>
      </c>
      <c r="C78" s="12" t="s">
        <v>1157</v>
      </c>
      <c r="D78" s="12" t="s">
        <v>1158</v>
      </c>
      <c r="E78" s="12">
        <v>241067</v>
      </c>
      <c r="F78" s="23">
        <v>1</v>
      </c>
      <c r="G78" s="23">
        <f>INT(E78/100000)</f>
        <v>2</v>
      </c>
      <c r="H78" s="23">
        <f>INT(($E78-100000*G78)/10000)</f>
        <v>4</v>
      </c>
      <c r="I78" s="23">
        <f>INT(($E78-100000*G78-10000*H78)/1000)</f>
        <v>1</v>
      </c>
      <c r="J78" s="23">
        <f>INT(($E78-100000*$G78-10000*$H78-1000*$I78)/100)</f>
        <v>0</v>
      </c>
      <c r="K78" s="23">
        <f>INT(($E78-100000*$G78-10000*$H78-1000*$I78-100*$J78)/10)</f>
        <v>6</v>
      </c>
      <c r="L78" s="23">
        <f>INT(($E78-100000*$G78-10000*$H78-1000*$I78-100*$J78-10*$K78))</f>
        <v>7</v>
      </c>
      <c r="M78" s="24">
        <v>2</v>
      </c>
      <c r="N78" s="12" t="s">
        <v>1159</v>
      </c>
      <c r="O78" s="26">
        <f>65+K78+10*LOG10(70+L78)+10*LOG10(100/(100+J78*20))</f>
        <v>89.864907251724816</v>
      </c>
      <c r="P78" s="24">
        <f>IF(N78="",0,IF(EXACT(RIGHT(N78,5),"dB(A)"),IF(ABS(VALUE(LEFT(N78,FIND(" ",N78,1)))-O78)&lt;=0.5,1,-1),-1))</f>
        <v>1</v>
      </c>
      <c r="Q78" s="12" t="s">
        <v>1160</v>
      </c>
      <c r="R78" s="26">
        <f>10*LOG10(10^((80+G78)/10)*(10+L78)*1000/16/3600+10^((85+H78)/10)*(10+K78)*3000/16/3600+10^((90+J78)/10)*(10+J78)*100/16/3600)</f>
        <v>88.609830795278725</v>
      </c>
      <c r="S78" s="24">
        <f>IF(Q78="",0,IF(EXACT(RIGHT(Q78,5),"dB(A)"),IF(ABS(VALUE(LEFT(Q78,FIND(" ",Q78,1)))-R78)&lt;=0.5,1,-1),-1))</f>
        <v>1</v>
      </c>
      <c r="T78" s="45" t="s">
        <v>1161</v>
      </c>
      <c r="U78" s="30">
        <f>4*(500+K78*10+L78)/(400+J78*10)/340*SQRT(8192/4/0.1)</f>
        <v>2.3865421990444813</v>
      </c>
      <c r="V78" s="24">
        <f>IF(T78="",0,IF(EXACT(RIGHT(T78,2)," s"),IF(ABS(VALUE(LEFT(T78,FIND(" ",T78,1)))-U78)&lt;=0.005,1,-1),-1))</f>
        <v>1</v>
      </c>
      <c r="W78" s="12">
        <v>32768</v>
      </c>
      <c r="X78" s="36">
        <f>8*2^(5+L78)</f>
        <v>32768</v>
      </c>
      <c r="Y78" s="24">
        <f>IF(W78="",0,IF(ABS(W78-X78)&lt;=1,1,-1))</f>
        <v>1</v>
      </c>
      <c r="Z78" s="43"/>
      <c r="AA78" s="26">
        <f>10*LOG10(10^((60+L78-39.4)/10)+10^((63+L78-26.2)/10)+10^((66+L78-16.1)/10)+10^((69+L78-8.6)/10)+10^((72+L78-3.2)/10)+10^((75+L78)/10)+10^((78+L78+1.2)/10)+10^((81+L78+1)/10)+10^((84+L78-1.1)/10)+10^((87+L78-6.6)/10))</f>
        <v>94.684202566927453</v>
      </c>
      <c r="AB78" s="24">
        <f>IF(Z78="",0,IF(EXACT(RIGHT(Z78,5),"dB(A)"),IF(ABS(VALUE(LEFT(Z78,FIND(" ",Z78,1)))-AA78)&lt;=0.2,1,-1),-1))</f>
        <v>0</v>
      </c>
      <c r="AC78" s="12" t="s">
        <v>1162</v>
      </c>
      <c r="AD78" s="26">
        <f>10*LOG10((10^((60+L78)/10)*(1+J78)+10^((65+K78)/10)*(2+I78/3))/(1+J78+2+I78/3))</f>
        <v>70.135129998905811</v>
      </c>
      <c r="AE78" s="24">
        <f>IF(AC78="",0,IF(EXACT(RIGHT(AC78,5),"dB(A)"),IF(ABS(VALUE(LEFT(AC78,FIND(" ",AC78,1)))-AD78)&lt;=0.5,1,-1),-1))</f>
        <v>1</v>
      </c>
      <c r="AF78" s="12" t="s">
        <v>1163</v>
      </c>
      <c r="AG78" s="26">
        <f>90+K78+10*LOG10(4/(0.16*(300+J78*20)/(1+L78/10)))+3</f>
        <v>90.512676753306494</v>
      </c>
      <c r="AH78" s="24">
        <f>IF(AF78="",0,IF(EXACT(RIGHT(AF78,2),"dB"),IF(ABS(VALUE(LEFT(AF78,FIND(" ",AF78,1)))-AG78)&lt;=0.5,1,-1),-1))</f>
        <v>-1</v>
      </c>
      <c r="AI78" s="12" t="s">
        <v>1164</v>
      </c>
      <c r="AJ78" s="26">
        <f>10*LOG10(3+40*(2*SQRT(((10+K78)/2)^2+(3+L78/10)^2)-(10+K78))*100*(1+J78)/340)</f>
        <v>13.455204580994486</v>
      </c>
      <c r="AK78" s="24">
        <f>IF(AI78="",0,IF(EXACT(RIGHT(AI78,2),"dB"),IF(ABS(VALUE(LEFT(AI78,FIND(" ",AI78,1)))-AJ78)&lt;=0.5,1,-1),-1))</f>
        <v>1</v>
      </c>
      <c r="AL78" s="12" t="s">
        <v>1165</v>
      </c>
      <c r="AM78" s="26">
        <f>80+L78-(80+K78)</f>
        <v>1</v>
      </c>
      <c r="AN78" s="24">
        <f>IF(AL78="",0,IF(EXACT(RIGHT(AL78,2),"dB"),IF(ABS(VALUE(LEFT(AL78,FIND(" ",AL78,1)))-AM78)&lt;=0.5,1,-1),-1))</f>
        <v>1</v>
      </c>
      <c r="AO78" s="12" t="s">
        <v>1166</v>
      </c>
      <c r="AP78" s="30">
        <f>((2^(5+L78))/2+1)/48</f>
        <v>42.6875</v>
      </c>
      <c r="AQ78" s="24">
        <f>IF(AO78="",0,IF(EXACT(RIGHT(AO78,2),"ms"),IF(ABS(VALUE(LEFT(AO78,FIND(" ",AO78,1)))-AP78)/AP78&lt;=0.02,1,-1),-1))</f>
        <v>1</v>
      </c>
      <c r="AR78" s="39">
        <f>M78+P78+S78+V78+Y78+AB78+AE78+AH78+AK78+AN78+AQ78</f>
        <v>9</v>
      </c>
    </row>
    <row r="79" spans="1:44" ht="13.2">
      <c r="A79" s="41">
        <v>77</v>
      </c>
      <c r="B79" s="42">
        <v>41992.767998356481</v>
      </c>
      <c r="C79" s="12" t="s">
        <v>1242</v>
      </c>
      <c r="D79" s="12" t="s">
        <v>1243</v>
      </c>
      <c r="E79" s="12">
        <v>239381</v>
      </c>
      <c r="F79" s="23">
        <v>1</v>
      </c>
      <c r="G79" s="23">
        <f>INT(E79/100000)</f>
        <v>2</v>
      </c>
      <c r="H79" s="23">
        <f>INT(($E79-100000*G79)/10000)</f>
        <v>3</v>
      </c>
      <c r="I79" s="23">
        <f>INT(($E79-100000*G79-10000*H79)/1000)</f>
        <v>9</v>
      </c>
      <c r="J79" s="23">
        <f>INT(($E79-100000*$G79-10000*$H79-1000*$I79)/100)</f>
        <v>3</v>
      </c>
      <c r="K79" s="23">
        <f>INT(($E79-100000*$G79-10000*$H79-1000*$I79-100*$J79)/10)</f>
        <v>8</v>
      </c>
      <c r="L79" s="23">
        <f>INT(($E79-100000*$G79-10000*$H79-1000*$I79-100*$J79-10*$K79))</f>
        <v>1</v>
      </c>
      <c r="M79" s="24">
        <v>2</v>
      </c>
      <c r="N79" s="12" t="s">
        <v>1244</v>
      </c>
      <c r="O79" s="26">
        <f>65+K79+10*LOG10(70+L79)+10*LOG10(100/(100+J79*20))</f>
        <v>89.471383660631503</v>
      </c>
      <c r="P79" s="24">
        <f>IF(N79="",0,IF(EXACT(RIGHT(N79,5),"dB(A)"),IF(ABS(VALUE(LEFT(N79,FIND(" ",N79,1)))-O79)&lt;=0.5,1,-1),-1))</f>
        <v>1</v>
      </c>
      <c r="Q79" s="12" t="s">
        <v>1245</v>
      </c>
      <c r="R79" s="26">
        <f>10*LOG10(10^((80+G79)/10)*(10+L79)*1000/16/3600+10^((85+H79)/10)*(10+K79)*3000/16/3600+10^((90+J79)/10)*(10+J79)*100/16/3600)</f>
        <v>88.24009613609897</v>
      </c>
      <c r="S79" s="24">
        <f>IF(Q79="",0,IF(EXACT(RIGHT(Q79,5),"dB(A)"),IF(ABS(VALUE(LEFT(Q79,FIND(" ",Q79,1)))-R79)&lt;=0.5,1,-1),-1))</f>
        <v>1</v>
      </c>
      <c r="T79" s="45" t="s">
        <v>1246</v>
      </c>
      <c r="U79" s="30">
        <f>4*(500+K79*10+L79)/(400+J79*10)/340*SQRT(8192/4/0.1)</f>
        <v>2.2748550389973237</v>
      </c>
      <c r="V79" s="24">
        <f>IF(T79="",0,IF(EXACT(RIGHT(T79,2)," s"),IF(ABS(VALUE(LEFT(T79,FIND(" ",T79,1)))-U79)&lt;=0.005,1,-1),-1))</f>
        <v>1</v>
      </c>
      <c r="W79" s="12">
        <v>512</v>
      </c>
      <c r="X79" s="36">
        <f>8*2^(5+L79)</f>
        <v>512</v>
      </c>
      <c r="Y79" s="24">
        <f>IF(W79="",0,IF(ABS(W79-X79)&lt;=1,1,-1))</f>
        <v>1</v>
      </c>
      <c r="Z79" s="12" t="s">
        <v>1247</v>
      </c>
      <c r="AA79" s="26">
        <f>10*LOG10(10^((60+L79-39.4)/10)+10^((63+L79-26.2)/10)+10^((66+L79-16.1)/10)+10^((69+L79-8.6)/10)+10^((72+L79-3.2)/10)+10^((75+L79)/10)+10^((78+L79+1.2)/10)+10^((81+L79+1)/10)+10^((84+L79-1.1)/10)+10^((87+L79-6.6)/10))</f>
        <v>88.684202566927453</v>
      </c>
      <c r="AB79" s="24">
        <f>IF(Z79="",0,IF(EXACT(RIGHT(Z79,5),"dB(A)"),IF(ABS(VALUE(LEFT(Z79,FIND(" ",Z79,1)))-AA79)&lt;=0.2,1,-1),-1))</f>
        <v>1</v>
      </c>
      <c r="AC79" s="12" t="s">
        <v>1248</v>
      </c>
      <c r="AD79" s="26">
        <f>10*LOG10((10^((60+L79)/10)*(1+J79)+10^((65+K79)/10)*(2+I79/3))/(1+J79+2+I79/3))</f>
        <v>70.661138724311499</v>
      </c>
      <c r="AE79" s="24">
        <f>IF(AC79="",0,IF(EXACT(RIGHT(AC79,5),"dB(A)"),IF(ABS(VALUE(LEFT(AC79,FIND(" ",AC79,1)))-AD79)&lt;=0.5,1,-1),-1))</f>
        <v>1</v>
      </c>
      <c r="AF79" s="12" t="s">
        <v>1249</v>
      </c>
      <c r="AG79" s="26">
        <f>90+K79+10*LOG10(4/(0.16*(300+J79*20)/(1+L79/10)))+3</f>
        <v>89.830301930629759</v>
      </c>
      <c r="AH79" s="24">
        <f>IF(AF79="",0,IF(EXACT(RIGHT(AF79,2),"dB"),IF(ABS(VALUE(LEFT(AF79,FIND(" ",AF79,1)))-AG79)&lt;=0.5,1,-1),-1))</f>
        <v>1</v>
      </c>
      <c r="AI79" s="12" t="s">
        <v>1250</v>
      </c>
      <c r="AJ79" s="26">
        <f>10*LOG10(3+40*(2*SQRT(((10+K79)/2)^2+(3+L79/10)^2)-(10+K79))*100*(1+J79)/340)</f>
        <v>17.146677613074207</v>
      </c>
      <c r="AK79" s="24">
        <f>IF(AI79="",0,IF(EXACT(RIGHT(AI79,2),"dB"),IF(ABS(VALUE(LEFT(AI79,FIND(" ",AI79,1)))-AJ79)&lt;=0.5,1,-1),-1))</f>
        <v>-1</v>
      </c>
      <c r="AL79" s="44" t="s">
        <v>1251</v>
      </c>
      <c r="AM79" s="26">
        <f>80+L79-(80+K79)</f>
        <v>-7</v>
      </c>
      <c r="AN79" s="24">
        <v>-1</v>
      </c>
      <c r="AO79" s="12" t="s">
        <v>1252</v>
      </c>
      <c r="AP79" s="30">
        <f>((2^(5+L79))/2+1)/48</f>
        <v>0.6875</v>
      </c>
      <c r="AQ79" s="24">
        <f>IF(AO79="",0,IF(EXACT(RIGHT(AO79,2),"ms"),IF(ABS(VALUE(LEFT(AO79,FIND(" ",AO79,1)))-AP79)/AP79&lt;=0.02,1,-1),-1))</f>
        <v>1</v>
      </c>
      <c r="AR79" s="39">
        <f>M79+P79+S79+V79+Y79+AB79+AE79+AH79+AK79+AN79+AQ79</f>
        <v>8</v>
      </c>
    </row>
    <row r="80" spans="1:44" ht="13.2">
      <c r="A80" s="41">
        <v>78</v>
      </c>
      <c r="B80" s="42">
        <v>41992.759025879634</v>
      </c>
      <c r="C80" s="12" t="s">
        <v>145</v>
      </c>
      <c r="D80" s="12" t="s">
        <v>146</v>
      </c>
      <c r="E80" s="12">
        <v>240065</v>
      </c>
      <c r="F80" s="23">
        <v>1</v>
      </c>
      <c r="G80" s="23">
        <f>INT(E80/100000)</f>
        <v>2</v>
      </c>
      <c r="H80" s="23">
        <f>INT(($E80-100000*G80)/10000)</f>
        <v>4</v>
      </c>
      <c r="I80" s="23">
        <f>INT(($E80-100000*G80-10000*H80)/1000)</f>
        <v>0</v>
      </c>
      <c r="J80" s="23">
        <f>INT(($E80-100000*$G80-10000*$H80-1000*$I80)/100)</f>
        <v>0</v>
      </c>
      <c r="K80" s="23">
        <f>INT(($E80-100000*$G80-10000*$H80-1000*$I80-100*$J80)/10)</f>
        <v>6</v>
      </c>
      <c r="L80" s="23">
        <f>INT(($E80-100000*$G80-10000*$H80-1000*$I80-100*$J80-10*$K80))</f>
        <v>5</v>
      </c>
      <c r="M80" s="24">
        <v>2</v>
      </c>
      <c r="N80" s="12" t="s">
        <v>147</v>
      </c>
      <c r="O80" s="26">
        <f>65+K80+10*LOG10(70+L80)+10*LOG10(100/(100+J80*20))</f>
        <v>89.750612633917001</v>
      </c>
      <c r="P80" s="24">
        <f>IF(N80="",0,IF(EXACT(RIGHT(N80,5),"dB(A)"),IF(ABS(VALUE(LEFT(N80,FIND(" ",N80,1)))-O80)&lt;=0.5,1,-1),-1))</f>
        <v>1</v>
      </c>
      <c r="Q80" s="12" t="s">
        <v>148</v>
      </c>
      <c r="R80" s="26">
        <f>10*LOG10(10^((80+G80)/10)*(10+L80)*1000/16/3600+10^((85+H80)/10)*(10+K80)*3000/16/3600+10^((90+J80)/10)*(10+J80)*100/16/3600)</f>
        <v>88.576789294008961</v>
      </c>
      <c r="S80" s="24">
        <f>IF(Q80="",0,IF(EXACT(RIGHT(Q80,5),"dB(A)"),IF(ABS(VALUE(LEFT(Q80,FIND(" ",Q80,1)))-R80)&lt;=0.5,1,-1),-1))</f>
        <v>1</v>
      </c>
      <c r="T80" s="12" t="s">
        <v>149</v>
      </c>
      <c r="U80" s="30">
        <f>4*(500+K80*10+L80)/(400+J80*10)/340*SQRT(8192/4/0.1)</f>
        <v>2.3781240607762473</v>
      </c>
      <c r="V80" s="24">
        <f>IF(T80="",0,IF(EXACT(RIGHT(T80,2)," s"),IF(ABS(VALUE(LEFT(T80,FIND(" ",T80,1)))-U80)&lt;=0.005,1,-1),-1))</f>
        <v>1</v>
      </c>
      <c r="W80" s="12">
        <v>8192</v>
      </c>
      <c r="X80" s="36">
        <f>8*2^(5+L80)</f>
        <v>8192</v>
      </c>
      <c r="Y80" s="24">
        <f>IF(W80="",0,IF(ABS(W80-X80)&lt;=1,1,-1))</f>
        <v>1</v>
      </c>
      <c r="Z80" s="43"/>
      <c r="AA80" s="26">
        <f>10*LOG10(10^((60+L80-39.4)/10)+10^((63+L80-26.2)/10)+10^((66+L80-16.1)/10)+10^((69+L80-8.6)/10)+10^((72+L80-3.2)/10)+10^((75+L80)/10)+10^((78+L80+1.2)/10)+10^((81+L80+1)/10)+10^((84+L80-1.1)/10)+10^((87+L80-6.6)/10))</f>
        <v>92.684202566927439</v>
      </c>
      <c r="AB80" s="24">
        <f>IF(Z80="",0,IF(EXACT(RIGHT(Z80,5),"dB(A)"),IF(ABS(VALUE(LEFT(Z80,FIND(" ",Z80,1)))-AA80)&lt;=0.2,1,-1),-1))</f>
        <v>0</v>
      </c>
      <c r="AC80" s="12" t="s">
        <v>150</v>
      </c>
      <c r="AD80" s="26">
        <f>10*LOG10((10^((60+L80)/10)*(1+J80)+10^((65+K80)/10)*(2+I80/3))/(1+J80+2+I80/3))</f>
        <v>69.752906344375901</v>
      </c>
      <c r="AE80" s="24">
        <f>IF(AC80="",0,IF(EXACT(RIGHT(AC80,5),"dB(A)"),IF(ABS(VALUE(LEFT(AC80,FIND(" ",AC80,1)))-AD80)&lt;=0.5,1,-1),-1))</f>
        <v>1</v>
      </c>
      <c r="AF80" s="12" t="s">
        <v>151</v>
      </c>
      <c r="AG80" s="26">
        <f>90+K80+10*LOG10(4/(0.16*(300+J80*20)/(1+L80/10)))+3</f>
        <v>89.969100130080562</v>
      </c>
      <c r="AH80" s="24">
        <f>IF(AF80="",0,IF(EXACT(RIGHT(AF80,2),"dB"),IF(ABS(VALUE(LEFT(AF80,FIND(" ",AF80,1)))-AG80)&lt;=0.5,1,-1),-1))</f>
        <v>1</v>
      </c>
      <c r="AI80" s="12" t="s">
        <v>152</v>
      </c>
      <c r="AJ80" s="26">
        <f>10*LOG10(3+40*(2*SQRT(((10+K80)/2)^2+(3+L80/10)^2)-(10+K80))*100*(1+J80)/340)</f>
        <v>13.059199043484785</v>
      </c>
      <c r="AK80" s="24">
        <f>IF(AI80="",0,IF(EXACT(RIGHT(AI80,2),"dB"),IF(ABS(VALUE(LEFT(AI80,FIND(" ",AI80,1)))-AJ80)&lt;=0.5,1,-1),-1))</f>
        <v>-1</v>
      </c>
      <c r="AL80" s="12" t="s">
        <v>153</v>
      </c>
      <c r="AM80" s="26">
        <f>80+L80-(80+K80)</f>
        <v>-1</v>
      </c>
      <c r="AN80" s="24">
        <f>IF(AL80="",0,IF(EXACT(RIGHT(AL80,2),"dB"),IF(ABS(VALUE(LEFT(AL80,FIND(" ",AL80,1)))-AM80)&lt;=0.5,1,-1),-1))</f>
        <v>1</v>
      </c>
      <c r="AO80" s="43"/>
      <c r="AP80" s="30">
        <f>((2^(5+L80))/2+1)/48</f>
        <v>10.6875</v>
      </c>
      <c r="AQ80" s="24">
        <f>IF(AO80="",0,IF(EXACT(RIGHT(AO80,2),"ms"),IF(ABS(VALUE(LEFT(AO80,FIND(" ",AO80,1)))-AP80)/AP80&lt;=0.02,1,-1),-1))</f>
        <v>0</v>
      </c>
      <c r="AR80" s="39">
        <f>M80+P80+S80+V80+Y80+AB80+AE80+AH80+AK80+AN80+AQ80</f>
        <v>8</v>
      </c>
    </row>
    <row r="81" spans="1:44" ht="13.2">
      <c r="A81" s="41">
        <v>79</v>
      </c>
      <c r="B81" s="42">
        <v>41992.760858124995</v>
      </c>
      <c r="C81" s="12" t="s">
        <v>284</v>
      </c>
      <c r="D81" s="12" t="s">
        <v>285</v>
      </c>
      <c r="E81" s="12">
        <v>225754</v>
      </c>
      <c r="F81" s="23">
        <v>1</v>
      </c>
      <c r="G81" s="23">
        <f>INT(E81/100000)</f>
        <v>2</v>
      </c>
      <c r="H81" s="23">
        <f>INT(($E81-100000*G81)/10000)</f>
        <v>2</v>
      </c>
      <c r="I81" s="23">
        <f>INT(($E81-100000*G81-10000*H81)/1000)</f>
        <v>5</v>
      </c>
      <c r="J81" s="23">
        <f>INT(($E81-100000*$G81-10000*$H81-1000*$I81)/100)</f>
        <v>7</v>
      </c>
      <c r="K81" s="23">
        <f>INT(($E81-100000*$G81-10000*$H81-1000*$I81-100*$J81)/10)</f>
        <v>5</v>
      </c>
      <c r="L81" s="23">
        <f>INT(($E81-100000*$G81-10000*$H81-1000*$I81-100*$J81-10*$K81))</f>
        <v>4</v>
      </c>
      <c r="M81" s="24">
        <v>2</v>
      </c>
      <c r="N81" s="12" t="s">
        <v>286</v>
      </c>
      <c r="O81" s="26">
        <f>65+K81+10*LOG10(70+L81)+10*LOG10(100/(100+J81*20))</f>
        <v>84.890204780193699</v>
      </c>
      <c r="P81" s="24">
        <f>IF(N81="",0,IF(EXACT(RIGHT(N81,5),"dB(A)"),IF(ABS(VALUE(LEFT(N81,FIND(" ",N81,1)))-O81)&lt;=0.5,1,-1),-1))</f>
        <v>1</v>
      </c>
      <c r="Q81" s="43"/>
      <c r="R81" s="26">
        <f>10*LOG10(10^((80+G81)/10)*(10+L81)*1000/16/3600+10^((85+H81)/10)*(10+K81)*3000/16/3600+10^((90+J81)/10)*(10+J81)*100/16/3600)</f>
        <v>87.619233895604637</v>
      </c>
      <c r="S81" s="24">
        <f>IF(Q81="",0,IF(EXACT(RIGHT(Q81,5),"dB(A)"),IF(ABS(VALUE(LEFT(Q81,FIND(" ",Q81,1)))-R81)&lt;=0.5,1,-1),-1))</f>
        <v>0</v>
      </c>
      <c r="T81" s="12" t="s">
        <v>287</v>
      </c>
      <c r="U81" s="30">
        <f>4*(500+K81*10+L81)/(400+J81*10)/340*SQRT(8192/4/0.1)</f>
        <v>1.9845313194050702</v>
      </c>
      <c r="V81" s="24">
        <f>IF(T81="",0,IF(EXACT(RIGHT(T81,2)," s"),IF(ABS(VALUE(LEFT(T81,FIND(" ",T81,1)))-U81)&lt;=0.005,1,-1),-1))</f>
        <v>1</v>
      </c>
      <c r="W81" s="12">
        <v>4096</v>
      </c>
      <c r="X81" s="36">
        <f>8*2^(5+L81)</f>
        <v>4096</v>
      </c>
      <c r="Y81" s="24">
        <f>IF(W81="",0,IF(ABS(W81-X81)&lt;=1,1,-1))</f>
        <v>1</v>
      </c>
      <c r="Z81" s="43"/>
      <c r="AA81" s="26">
        <f>10*LOG10(10^((60+L81-39.4)/10)+10^((63+L81-26.2)/10)+10^((66+L81-16.1)/10)+10^((69+L81-8.6)/10)+10^((72+L81-3.2)/10)+10^((75+L81)/10)+10^((78+L81+1.2)/10)+10^((81+L81+1)/10)+10^((84+L81-1.1)/10)+10^((87+L81-6.6)/10))</f>
        <v>91.684202566927439</v>
      </c>
      <c r="AB81" s="24">
        <f>IF(Z81="",0,IF(EXACT(RIGHT(Z81,5),"dB(A)"),IF(ABS(VALUE(LEFT(Z81,FIND(" ",Z81,1)))-AA81)&lt;=0.2,1,-1),-1))</f>
        <v>0</v>
      </c>
      <c r="AC81" s="12" t="s">
        <v>288</v>
      </c>
      <c r="AD81" s="26">
        <f>10*LOG10((10^((60+L81)/10)*(1+J81)+10^((65+K81)/10)*(2+I81/3))/(1+J81+2+I81/3))</f>
        <v>66.871090490477727</v>
      </c>
      <c r="AE81" s="24">
        <f>IF(AC81="",0,IF(EXACT(RIGHT(AC81,5),"dB(A)"),IF(ABS(VALUE(LEFT(AC81,FIND(" ",AC81,1)))-AD81)&lt;=0.5,1,-1),-1))</f>
        <v>1</v>
      </c>
      <c r="AF81" s="12" t="s">
        <v>289</v>
      </c>
      <c r="AG81" s="26">
        <f>90+K81+10*LOG10(4/(0.16*(300+J81*20)/(1+L81/10)))+3</f>
        <v>87.006153678640885</v>
      </c>
      <c r="AH81" s="24">
        <f>IF(AF81="",0,IF(EXACT(RIGHT(AF81,2),"dB"),IF(ABS(VALUE(LEFT(AF81,FIND(" ",AF81,1)))-AG81)&lt;=0.5,1,-1),-1))</f>
        <v>1</v>
      </c>
      <c r="AI81" s="43"/>
      <c r="AJ81" s="26">
        <f>10*LOG10(3+40*(2*SQRT(((10+K81)/2)^2+(3+L81/10)^2)-(10+K81))*100*(1+J81)/340)</f>
        <v>21.501213336791313</v>
      </c>
      <c r="AK81" s="24">
        <f>IF(AI81="",0,IF(EXACT(RIGHT(AI81,2),"dB"),IF(ABS(VALUE(LEFT(AI81,FIND(" ",AI81,1)))-AJ81)&lt;=0.5,1,-1),-1))</f>
        <v>0</v>
      </c>
      <c r="AL81" s="12" t="s">
        <v>290</v>
      </c>
      <c r="AM81" s="26">
        <f>80+L81-(80+K81)</f>
        <v>-1</v>
      </c>
      <c r="AN81" s="24">
        <f>IF(AL81="",0,IF(EXACT(RIGHT(AL81,2),"dB"),IF(ABS(VALUE(LEFT(AL81,FIND(" ",AL81,1)))-AM81)&lt;=0.5,1,-1),-1))</f>
        <v>1</v>
      </c>
      <c r="AO81" s="43"/>
      <c r="AP81" s="30">
        <f>((2^(5+L81))/2+1)/48</f>
        <v>5.354166666666667</v>
      </c>
      <c r="AQ81" s="24">
        <f>IF(AO81="",0,IF(EXACT(RIGHT(AO81,2),"ms"),IF(ABS(VALUE(LEFT(AO81,FIND(" ",AO81,1)))-AP81)/AP81&lt;=0.02,1,-1),-1))</f>
        <v>0</v>
      </c>
      <c r="AR81" s="39">
        <f>M81+P81+S81+V81+Y81+AB81+AE81+AH81+AK81+AN81+AQ81</f>
        <v>8</v>
      </c>
    </row>
    <row r="82" spans="1:44" ht="13.2">
      <c r="A82" s="41">
        <v>80</v>
      </c>
      <c r="B82" s="42">
        <v>41992.760888101846</v>
      </c>
      <c r="C82" s="12" t="s">
        <v>291</v>
      </c>
      <c r="D82" s="12" t="s">
        <v>292</v>
      </c>
      <c r="E82" s="12">
        <v>259673</v>
      </c>
      <c r="F82" s="23">
        <v>1</v>
      </c>
      <c r="G82" s="23">
        <f>INT(E82/100000)</f>
        <v>2</v>
      </c>
      <c r="H82" s="23">
        <f>INT(($E82-100000*G82)/10000)</f>
        <v>5</v>
      </c>
      <c r="I82" s="23">
        <f>INT(($E82-100000*G82-10000*H82)/1000)</f>
        <v>9</v>
      </c>
      <c r="J82" s="23">
        <f>INT(($E82-100000*$G82-10000*$H82-1000*$I82)/100)</f>
        <v>6</v>
      </c>
      <c r="K82" s="23">
        <f>INT(($E82-100000*$G82-10000*$H82-1000*$I82-100*$J82)/10)</f>
        <v>7</v>
      </c>
      <c r="L82" s="23">
        <f>INT(($E82-100000*$G82-10000*$H82-1000*$I82-100*$J82-10*$K82))</f>
        <v>3</v>
      </c>
      <c r="M82" s="24">
        <v>2</v>
      </c>
      <c r="N82" s="12" t="s">
        <v>293</v>
      </c>
      <c r="O82" s="26">
        <f>65+K82+10*LOG10(70+L82)+10*LOG10(100/(100+J82*20))</f>
        <v>87.209001792982505</v>
      </c>
      <c r="P82" s="24">
        <f>IF(N82="",0,IF(EXACT(RIGHT(N82,5),"dB(A)"),IF(ABS(VALUE(LEFT(N82,FIND(" ",N82,1)))-O82)&lt;=0.5,1,-1),-1))</f>
        <v>1</v>
      </c>
      <c r="Q82" s="12" t="s">
        <v>294</v>
      </c>
      <c r="R82" s="26">
        <f>10*LOG10(10^((80+G82)/10)*(10+L82)*1000/16/3600+10^((85+H82)/10)*(10+K82)*3000/16/3600+10^((90+J82)/10)*(10+J82)*100/16/3600)</f>
        <v>90.135838013332986</v>
      </c>
      <c r="S82" s="24">
        <f>IF(Q82="",0,IF(EXACT(RIGHT(Q82,5),"dB(A)"),IF(ABS(VALUE(LEFT(Q82,FIND(" ",Q82,1)))-R82)&lt;=0.5,1,-1),-1))</f>
        <v>1</v>
      </c>
      <c r="T82" s="12" t="s">
        <v>295</v>
      </c>
      <c r="U82" s="30">
        <f>4*(500+K82*10+L82)/(400+J82*10)/340*SQRT(8192/4/0.1)</f>
        <v>2.0972144468253782</v>
      </c>
      <c r="V82" s="24">
        <f>IF(T82="",0,IF(EXACT(RIGHT(T82,2)," s"),IF(ABS(VALUE(LEFT(T82,FIND(" ",T82,1)))-U82)&lt;=0.005,1,-1),-1))</f>
        <v>1</v>
      </c>
      <c r="W82" s="12">
        <v>2048</v>
      </c>
      <c r="X82" s="36">
        <f>8*2^(5+L82)</f>
        <v>2048</v>
      </c>
      <c r="Y82" s="24">
        <f>IF(W82="",0,IF(ABS(W82-X82)&lt;=1,1,-1))</f>
        <v>1</v>
      </c>
      <c r="Z82" s="12" t="s">
        <v>296</v>
      </c>
      <c r="AA82" s="26">
        <f>10*LOG10(10^((60+L82-39.4)/10)+10^((63+L82-26.2)/10)+10^((66+L82-16.1)/10)+10^((69+L82-8.6)/10)+10^((72+L82-3.2)/10)+10^((75+L82)/10)+10^((78+L82+1.2)/10)+10^((81+L82+1)/10)+10^((84+L82-1.1)/10)+10^((87+L82-6.6)/10))</f>
        <v>90.684202566927453</v>
      </c>
      <c r="AB82" s="24">
        <f>IF(Z82="",0,IF(EXACT(RIGHT(Z82,5),"dB(A)"),IF(ABS(VALUE(LEFT(Z82,FIND(" ",Z82,1)))-AA82)&lt;=0.2,1,-1),-1))</f>
        <v>1</v>
      </c>
      <c r="AC82" s="12" t="s">
        <v>297</v>
      </c>
      <c r="AD82" s="26">
        <f>10*LOG10((10^((60+L82)/10)*(1+J82)+10^((65+K82)/10)*(2+I82/3))/(1+J82+2+I82/3))</f>
        <v>68.902882313998518</v>
      </c>
      <c r="AE82" s="24">
        <f>IF(AC82="",0,IF(EXACT(RIGHT(AC82,5),"dB(A)"),IF(ABS(VALUE(LEFT(AC82,FIND(" ",AC82,1)))-AD82)&lt;=0.5,1,-1),-1))</f>
        <v>1</v>
      </c>
      <c r="AF82" s="44" t="s">
        <v>298</v>
      </c>
      <c r="AG82" s="26">
        <f>90+K82+10*LOG10(4/(0.16*(300+J82*20)/(1+L82/10)))+3</f>
        <v>88.886340705809744</v>
      </c>
      <c r="AH82" s="24">
        <f>IF(AF82="",0,IF(EXACT(RIGHT(AF82,2),"dB"),IF(ABS(VALUE(LEFT(AF82,FIND(" ",AF82,1)))-AG82)&lt;=0.5,1,-1),-1))</f>
        <v>-1</v>
      </c>
      <c r="AI82" s="12" t="s">
        <v>299</v>
      </c>
      <c r="AJ82" s="26">
        <f>10*LOG10(3+40*(2*SQRT(((10+K82)/2)^2+(3+L82/10)^2)-(10+K82))*100*(1+J82)/340)</f>
        <v>20.203902294780626</v>
      </c>
      <c r="AK82" s="24">
        <f>IF(AI82="",0,IF(EXACT(RIGHT(AI82,2),"dB"),IF(ABS(VALUE(LEFT(AI82,FIND(" ",AI82,1)))-AJ82)&lt;=0.5,1,-1),-1))</f>
        <v>1</v>
      </c>
      <c r="AL82" s="43"/>
      <c r="AM82" s="26">
        <f>80+L82-(80+K82)</f>
        <v>-4</v>
      </c>
      <c r="AN82" s="24">
        <f>IF(AL82="",0,IF(EXACT(RIGHT(AL82,2),"dB"),IF(ABS(VALUE(LEFT(AL82,FIND(" ",AL82,1)))-AM82)&lt;=0.5,1,-1),-1))</f>
        <v>0</v>
      </c>
      <c r="AO82" s="43"/>
      <c r="AP82" s="30">
        <f>((2^(5+L82))/2+1)/48</f>
        <v>2.6875</v>
      </c>
      <c r="AQ82" s="24">
        <f>IF(AO82="",0,IF(EXACT(RIGHT(AO82,2),"ms"),IF(ABS(VALUE(LEFT(AO82,FIND(" ",AO82,1)))-AP82)/AP82&lt;=0.02,1,-1),-1))</f>
        <v>0</v>
      </c>
      <c r="AR82" s="39">
        <f>M82+P82+S82+V82+Y82+AB82+AE82+AH82+AK82+AN82+AQ82</f>
        <v>8</v>
      </c>
    </row>
    <row r="83" spans="1:44" ht="13.2">
      <c r="A83" s="41">
        <v>81</v>
      </c>
      <c r="B83" s="42">
        <v>41992.760889687495</v>
      </c>
      <c r="C83" s="12" t="s">
        <v>300</v>
      </c>
      <c r="D83" s="12" t="s">
        <v>301</v>
      </c>
      <c r="E83" s="12">
        <v>258561</v>
      </c>
      <c r="F83" s="23">
        <v>1</v>
      </c>
      <c r="G83" s="23">
        <f>INT(E83/100000)</f>
        <v>2</v>
      </c>
      <c r="H83" s="23">
        <f>INT(($E83-100000*G83)/10000)</f>
        <v>5</v>
      </c>
      <c r="I83" s="23">
        <f>INT(($E83-100000*G83-10000*H83)/1000)</f>
        <v>8</v>
      </c>
      <c r="J83" s="23">
        <f>INT(($E83-100000*$G83-10000*$H83-1000*$I83)/100)</f>
        <v>5</v>
      </c>
      <c r="K83" s="23">
        <f>INT(($E83-100000*$G83-10000*$H83-1000*$I83-100*$J83)/10)</f>
        <v>6</v>
      </c>
      <c r="L83" s="23">
        <f>INT(($E83-100000*$G83-10000*$H83-1000*$I83-100*$J83-10*$K83))</f>
        <v>1</v>
      </c>
      <c r="M83" s="24">
        <v>2</v>
      </c>
      <c r="N83" s="12" t="s">
        <v>302</v>
      </c>
      <c r="O83" s="26">
        <f>65+K83+10*LOG10(70+L83)+10*LOG10(100/(100+J83*20))</f>
        <v>86.50228353055094</v>
      </c>
      <c r="P83" s="24">
        <f>IF(N83="",0,IF(EXACT(RIGHT(N83,5),"dB(A)"),IF(ABS(VALUE(LEFT(N83,FIND(" ",N83,1)))-O83)&lt;=0.5,1,-1),-1))</f>
        <v>1</v>
      </c>
      <c r="Q83" s="12" t="s">
        <v>303</v>
      </c>
      <c r="R83" s="26">
        <f>10*LOG10(10^((80+G83)/10)*(10+L83)*1000/16/3600+10^((85+H83)/10)*(10+K83)*3000/16/3600+10^((90+J83)/10)*(10+J83)*100/16/3600)</f>
        <v>89.758688112377371</v>
      </c>
      <c r="S83" s="24">
        <f>IF(Q83="",0,IF(EXACT(RIGHT(Q83,5),"dB(A)"),IF(ABS(VALUE(LEFT(Q83,FIND(" ",Q83,1)))-R83)&lt;=0.5,1,-1),-1))</f>
        <v>1</v>
      </c>
      <c r="T83" s="12" t="s">
        <v>304</v>
      </c>
      <c r="U83" s="30">
        <f>4*(500+K83*10+L83)/(400+J83*10)/340*SQRT(8192/4/0.1)</f>
        <v>2.0989224748798025</v>
      </c>
      <c r="V83" s="24">
        <f>IF(T83="",0,IF(EXACT(RIGHT(T83,2)," s"),IF(ABS(VALUE(LEFT(T83,FIND(" ",T83,1)))-U83)&lt;=0.005,1,-1),-1))</f>
        <v>1</v>
      </c>
      <c r="W83" s="12">
        <v>512</v>
      </c>
      <c r="X83" s="36">
        <f>8*2^(5+L83)</f>
        <v>512</v>
      </c>
      <c r="Y83" s="24">
        <f>IF(W83="",0,IF(ABS(W83-X83)&lt;=1,1,-1))</f>
        <v>1</v>
      </c>
      <c r="Z83" s="12" t="s">
        <v>305</v>
      </c>
      <c r="AA83" s="26">
        <f>10*LOG10(10^((60+L83-39.4)/10)+10^((63+L83-26.2)/10)+10^((66+L83-16.1)/10)+10^((69+L83-8.6)/10)+10^((72+L83-3.2)/10)+10^((75+L83)/10)+10^((78+L83+1.2)/10)+10^((81+L83+1)/10)+10^((84+L83-1.1)/10)+10^((87+L83-6.6)/10))</f>
        <v>88.684202566927453</v>
      </c>
      <c r="AB83" s="24">
        <f>IF(Z83="",0,IF(EXACT(RIGHT(Z83,5),"dB(A)"),IF(ABS(VALUE(LEFT(Z83,FIND(" ",Z83,1)))-AA83)&lt;=0.2,1,-1),-1))</f>
        <v>1</v>
      </c>
      <c r="AC83" s="12" t="s">
        <v>306</v>
      </c>
      <c r="AD83" s="26">
        <f>10*LOG10((10^((60+L83)/10)*(1+J83)+10^((65+K83)/10)*(2+I83/3))/(1+J83+2+I83/3))</f>
        <v>67.935071086345161</v>
      </c>
      <c r="AE83" s="24">
        <f>IF(AC83="",0,IF(EXACT(RIGHT(AC83,5),"dB(A)"),IF(ABS(VALUE(LEFT(AC83,FIND(" ",AC83,1)))-AD83)&lt;=0.5,1,-1),-1))</f>
        <v>1</v>
      </c>
      <c r="AF83" s="44" t="s">
        <v>307</v>
      </c>
      <c r="AG83" s="26">
        <f>90+K83+10*LOG10(4/(0.16*(300+J83*20)/(1+L83/10)))+3</f>
        <v>87.372727025023011</v>
      </c>
      <c r="AH83" s="24">
        <f>IF(AF83="",0,IF(EXACT(RIGHT(AF83,2),"dB"),IF(ABS(VALUE(LEFT(AF83,FIND(" ",AF83,1)))-AG83)&lt;=0.5,1,-1),-1))</f>
        <v>-1</v>
      </c>
      <c r="AI83" s="12" t="s">
        <v>308</v>
      </c>
      <c r="AJ83" s="26">
        <f>10*LOG10(3+40*(2*SQRT(((10+K83)/2)^2+(3+L83/10)^2)-(10+K83))*100*(1+J83)/340)</f>
        <v>19.285479237899359</v>
      </c>
      <c r="AK83" s="24">
        <f>IF(AI83="",0,IF(EXACT(RIGHT(AI83,2),"dB"),IF(ABS(VALUE(LEFT(AI83,FIND(" ",AI83,1)))-AJ83)&lt;=0.5,1,-1),-1))</f>
        <v>1</v>
      </c>
      <c r="AL83" s="43"/>
      <c r="AM83" s="26">
        <f>80+L83-(80+K83)</f>
        <v>-5</v>
      </c>
      <c r="AN83" s="24">
        <f>IF(AL83="",0,IF(EXACT(RIGHT(AL83,2),"dB"),IF(ABS(VALUE(LEFT(AL83,FIND(" ",AL83,1)))-AM83)&lt;=0.5,1,-1),-1))</f>
        <v>0</v>
      </c>
      <c r="AO83" s="43"/>
      <c r="AP83" s="30">
        <f>((2^(5+L83))/2+1)/48</f>
        <v>0.6875</v>
      </c>
      <c r="AQ83" s="24">
        <f>IF(AO83="",0,IF(EXACT(RIGHT(AO83,2),"ms"),IF(ABS(VALUE(LEFT(AO83,FIND(" ",AO83,1)))-AP83)/AP83&lt;=0.02,1,-1),-1))</f>
        <v>0</v>
      </c>
      <c r="AR83" s="39">
        <f>M83+P83+S83+V83+Y83+AB83+AE83+AH83+AK83+AN83+AQ83</f>
        <v>8</v>
      </c>
    </row>
    <row r="84" spans="1:44" ht="13.2">
      <c r="A84" s="41">
        <v>82</v>
      </c>
      <c r="B84" s="42">
        <v>41992.760965046298</v>
      </c>
      <c r="C84" s="12" t="s">
        <v>319</v>
      </c>
      <c r="D84" s="12" t="s">
        <v>320</v>
      </c>
      <c r="E84" s="12">
        <v>256904</v>
      </c>
      <c r="F84" s="23">
        <v>1</v>
      </c>
      <c r="G84" s="23">
        <f>INT(E84/100000)</f>
        <v>2</v>
      </c>
      <c r="H84" s="23">
        <f>INT(($E84-100000*G84)/10000)</f>
        <v>5</v>
      </c>
      <c r="I84" s="23">
        <f>INT(($E84-100000*G84-10000*H84)/1000)</f>
        <v>6</v>
      </c>
      <c r="J84" s="23">
        <f>INT(($E84-100000*$G84-10000*$H84-1000*$I84)/100)</f>
        <v>9</v>
      </c>
      <c r="K84" s="23">
        <f>INT(($E84-100000*$G84-10000*$H84-1000*$I84-100*$J84)/10)</f>
        <v>0</v>
      </c>
      <c r="L84" s="23">
        <f>INT(($E84-100000*$G84-10000*$H84-1000*$I84-100*$J84-10*$K84))</f>
        <v>4</v>
      </c>
      <c r="M84" s="24">
        <v>2</v>
      </c>
      <c r="N84" s="12" t="s">
        <v>321</v>
      </c>
      <c r="O84" s="26">
        <f>65+K84+10*LOG10(70+L84)+10*LOG10(100/(100+J84*20))</f>
        <v>79.220736883887568</v>
      </c>
      <c r="P84" s="24">
        <f>IF(N84="",0,IF(EXACT(RIGHT(N84,5),"dB(A)"),IF(ABS(VALUE(LEFT(N84,FIND(" ",N84,1)))-O84)&lt;=0.5,1,-1),-1))</f>
        <v>1</v>
      </c>
      <c r="Q84" s="12" t="s">
        <v>322</v>
      </c>
      <c r="R84" s="26">
        <f>10*LOG10(10^((80+G84)/10)*(10+L84)*1000/16/3600+10^((85+H84)/10)*(10+K84)*3000/16/3600+10^((90+J84)/10)*(10+J84)*100/16/3600)</f>
        <v>89.14540442260828</v>
      </c>
      <c r="S84" s="24">
        <f>IF(Q84="",0,IF(EXACT(RIGHT(Q84,5),"dB(A)"),IF(ABS(VALUE(LEFT(Q84,FIND(" ",Q84,1)))-R84)&lt;=0.5,1,-1),-1))</f>
        <v>1</v>
      </c>
      <c r="T84" s="12" t="s">
        <v>323</v>
      </c>
      <c r="U84" s="30">
        <f>4*(500+K84*10+L84)/(400+J84*10)/340*SQRT(8192/4/0.1)</f>
        <v>1.7317313008939546</v>
      </c>
      <c r="V84" s="24">
        <f>IF(T84="",0,IF(EXACT(RIGHT(T84,2)," s"),IF(ABS(VALUE(LEFT(T84,FIND(" ",T84,1)))-U84)&lt;=0.005,1,-1),-1))</f>
        <v>1</v>
      </c>
      <c r="W84" s="12">
        <v>4096</v>
      </c>
      <c r="X84" s="36">
        <f>8*2^(5+L84)</f>
        <v>4096</v>
      </c>
      <c r="Y84" s="24">
        <f>IF(W84="",0,IF(ABS(W84-X84)&lt;=1,1,-1))</f>
        <v>1</v>
      </c>
      <c r="Z84" s="12" t="s">
        <v>324</v>
      </c>
      <c r="AA84" s="26">
        <f>10*LOG10(10^((60+L84-39.4)/10)+10^((63+L84-26.2)/10)+10^((66+L84-16.1)/10)+10^((69+L84-8.6)/10)+10^((72+L84-3.2)/10)+10^((75+L84)/10)+10^((78+L84+1.2)/10)+10^((81+L84+1)/10)+10^((84+L84-1.1)/10)+10^((87+L84-6.6)/10))</f>
        <v>91.684202566927439</v>
      </c>
      <c r="AB84" s="24">
        <f>IF(Z84="",0,IF(EXACT(RIGHT(Z84,5),"dB(A)"),IF(ABS(VALUE(LEFT(Z84,FIND(" ",Z84,1)))-AA84)&lt;=0.2,1,-1),-1))</f>
        <v>1</v>
      </c>
      <c r="AC84" s="12" t="s">
        <v>325</v>
      </c>
      <c r="AD84" s="26">
        <f>10*LOG10((10^((60+L84)/10)*(1+J84)+10^((65+K84)/10)*(2+I84/3))/(1+J84+2+I84/3))</f>
        <v>64.309956637610924</v>
      </c>
      <c r="AE84" s="24">
        <f>IF(AC84="",0,IF(EXACT(RIGHT(AC84,5),"dB(A)"),IF(ABS(VALUE(LEFT(AC84,FIND(" ",AC84,1)))-AD84)&lt;=0.5,1,-1),-1))</f>
        <v>1</v>
      </c>
      <c r="AF84" s="44" t="s">
        <v>326</v>
      </c>
      <c r="AG84" s="26">
        <f>90+K84+10*LOG10(4/(0.16*(300+J84*20)/(1+L84/10)))+3</f>
        <v>81.628268069746881</v>
      </c>
      <c r="AH84" s="24">
        <f>IF(AF84="",0,IF(EXACT(RIGHT(AF84,2),"dB"),IF(ABS(VALUE(LEFT(AF84,FIND(" ",AF84,1)))-AG84)&lt;=0.5,1,-1),-1))</f>
        <v>-1</v>
      </c>
      <c r="AI84" s="12" t="s">
        <v>327</v>
      </c>
      <c r="AJ84" s="26">
        <f>10*LOG10(3+40*(2*SQRT(((10+K84)/2)^2+(3+L84/10)^2)-(10+K84))*100*(1+J84)/340)</f>
        <v>23.966040416470534</v>
      </c>
      <c r="AK84" s="24">
        <f>IF(AI84="",0,IF(EXACT(RIGHT(AI84,2),"dB"),IF(ABS(VALUE(LEFT(AI84,FIND(" ",AI84,1)))-AJ84)&lt;=0.5,1,-1),-1))</f>
        <v>1</v>
      </c>
      <c r="AL84" s="43"/>
      <c r="AM84" s="26">
        <f>80+L84-(80+K84)</f>
        <v>4</v>
      </c>
      <c r="AN84" s="24">
        <f>IF(AL84="",0,IF(EXACT(RIGHT(AL84,2),"dB"),IF(ABS(VALUE(LEFT(AL84,FIND(" ",AL84,1)))-AM84)&lt;=0.5,1,-1),-1))</f>
        <v>0</v>
      </c>
      <c r="AO84" s="43"/>
      <c r="AP84" s="30">
        <f>((2^(5+L84))/2+1)/48</f>
        <v>5.354166666666667</v>
      </c>
      <c r="AQ84" s="24">
        <f>IF(AO84="",0,IF(EXACT(RIGHT(AO84,2),"ms"),IF(ABS(VALUE(LEFT(AO84,FIND(" ",AO84,1)))-AP84)/AP84&lt;=0.02,1,-1),-1))</f>
        <v>0</v>
      </c>
      <c r="AR84" s="39">
        <f>M84+P84+S84+V84+Y84+AB84+AE84+AH84+AK84+AN84+AQ84</f>
        <v>8</v>
      </c>
    </row>
    <row r="85" spans="1:44" ht="13.2">
      <c r="A85" s="41">
        <v>83</v>
      </c>
      <c r="B85" s="42">
        <v>41992.761357083335</v>
      </c>
      <c r="C85" s="12" t="s">
        <v>339</v>
      </c>
      <c r="D85" s="12" t="s">
        <v>340</v>
      </c>
      <c r="E85" s="12">
        <v>218915</v>
      </c>
      <c r="F85" s="23">
        <v>1</v>
      </c>
      <c r="G85" s="23">
        <f>INT(E85/100000)</f>
        <v>2</v>
      </c>
      <c r="H85" s="23">
        <f>INT(($E85-100000*G85)/10000)</f>
        <v>1</v>
      </c>
      <c r="I85" s="23">
        <f>INT(($E85-100000*G85-10000*H85)/1000)</f>
        <v>8</v>
      </c>
      <c r="J85" s="23">
        <f>INT(($E85-100000*$G85-10000*$H85-1000*$I85)/100)</f>
        <v>9</v>
      </c>
      <c r="K85" s="23">
        <f>INT(($E85-100000*$G85-10000*$H85-1000*$I85-100*$J85)/10)</f>
        <v>1</v>
      </c>
      <c r="L85" s="23">
        <f>INT(($E85-100000*$G85-10000*$H85-1000*$I85-100*$J85-10*$K85))</f>
        <v>5</v>
      </c>
      <c r="M85" s="24">
        <v>2</v>
      </c>
      <c r="N85" s="12" t="s">
        <v>341</v>
      </c>
      <c r="O85" s="26">
        <f>65+K85+10*LOG10(70+L85)+10*LOG10(100/(100+J85*20))</f>
        <v>80.279032320494807</v>
      </c>
      <c r="P85" s="24">
        <f>IF(N85="",0,IF(EXACT(RIGHT(N85,5),"dB(A)"),IF(ABS(VALUE(LEFT(N85,FIND(" ",N85,1)))-O85)&lt;=0.5,1,-1),-1))</f>
        <v>1</v>
      </c>
      <c r="Q85" s="43"/>
      <c r="R85" s="26">
        <f>10*LOG10(10^((80+G85)/10)*(10+L85)*1000/16/3600+10^((85+H85)/10)*(10+K85)*3000/16/3600+10^((90+J85)/10)*(10+J85)*100/16/3600)</f>
        <v>87.253998817557843</v>
      </c>
      <c r="S85" s="24">
        <f>IF(Q85="",0,IF(EXACT(RIGHT(Q85,5),"dB(A)"),IF(ABS(VALUE(LEFT(Q85,FIND(" ",Q85,1)))-R85)&lt;=0.5,1,-1),-1))</f>
        <v>0</v>
      </c>
      <c r="T85" s="12" t="s">
        <v>342</v>
      </c>
      <c r="U85" s="30">
        <f>4*(500+K85*10+L85)/(400+J85*10)/340*SQRT(8192/4/0.1)</f>
        <v>1.769527023730926</v>
      </c>
      <c r="V85" s="24">
        <f>IF(T85="",0,IF(EXACT(RIGHT(T85,2)," s"),IF(ABS(VALUE(LEFT(T85,FIND(" ",T85,1)))-U85)&lt;=0.005,1,-1),-1))</f>
        <v>1</v>
      </c>
      <c r="W85" s="12">
        <v>8192</v>
      </c>
      <c r="X85" s="36">
        <f>8*2^(5+L85)</f>
        <v>8192</v>
      </c>
      <c r="Y85" s="24">
        <f>IF(W85="",0,IF(ABS(W85-X85)&lt;=1,1,-1))</f>
        <v>1</v>
      </c>
      <c r="Z85" s="43"/>
      <c r="AA85" s="26">
        <f>10*LOG10(10^((60+L85-39.4)/10)+10^((63+L85-26.2)/10)+10^((66+L85-16.1)/10)+10^((69+L85-8.6)/10)+10^((72+L85-3.2)/10)+10^((75+L85)/10)+10^((78+L85+1.2)/10)+10^((81+L85+1)/10)+10^((84+L85-1.1)/10)+10^((87+L85-6.6)/10))</f>
        <v>92.684202566927439</v>
      </c>
      <c r="AB85" s="24">
        <f>IF(Z85="",0,IF(EXACT(RIGHT(Z85,5),"dB(A)"),IF(ABS(VALUE(LEFT(Z85,FIND(" ",Z85,1)))-AA85)&lt;=0.2,1,-1),-1))</f>
        <v>0</v>
      </c>
      <c r="AC85" s="12" t="s">
        <v>343</v>
      </c>
      <c r="AD85" s="26">
        <f>10*LOG10((10^((60+L85)/10)*(1+J85)+10^((65+K85)/10)*(2+I85/3))/(1+J85+2+I85/3))</f>
        <v>65.343819088174584</v>
      </c>
      <c r="AE85" s="24">
        <f>IF(AC85="",0,IF(EXACT(RIGHT(AC85,5),"dB(A)"),IF(ABS(VALUE(LEFT(AC85,FIND(" ",AC85,1)))-AD85)&lt;=0.5,1,-1),-1))</f>
        <v>1</v>
      </c>
      <c r="AF85" s="12" t="s">
        <v>344</v>
      </c>
      <c r="AG85" s="26">
        <f>90+K85+10*LOG10(4/(0.16*(300+J85*20)/(1+L85/10)))+3</f>
        <v>82.927900303521312</v>
      </c>
      <c r="AH85" s="24">
        <f>IF(AF85="",0,IF(EXACT(RIGHT(AF85,2),"dB"),IF(ABS(VALUE(LEFT(AF85,FIND(" ",AF85,1)))-AG85)&lt;=0.5,1,-1),-1))</f>
        <v>1</v>
      </c>
      <c r="AI85" s="43"/>
      <c r="AJ85" s="26">
        <f>10*LOG10(3+40*(2*SQRT(((10+K85)/2)^2+(3+L85/10)^2)-(10+K85))*100*(1+J85)/340)</f>
        <v>23.852707375562737</v>
      </c>
      <c r="AK85" s="24">
        <f>IF(AI85="",0,IF(EXACT(RIGHT(AI85,2),"dB"),IF(ABS(VALUE(LEFT(AI85,FIND(" ",AI85,1)))-AJ85)&lt;=0.5,1,-1),-1))</f>
        <v>0</v>
      </c>
      <c r="AL85" s="12" t="s">
        <v>345</v>
      </c>
      <c r="AM85" s="26">
        <f>80+L85-(80+K85)</f>
        <v>4</v>
      </c>
      <c r="AN85" s="24">
        <f>IF(AL85="",0,IF(EXACT(RIGHT(AL85,2),"dB"),IF(ABS(VALUE(LEFT(AL85,FIND(" ",AL85,1)))-AM85)&lt;=0.5,1,-1),-1))</f>
        <v>1</v>
      </c>
      <c r="AO85" s="43"/>
      <c r="AP85" s="30">
        <f>((2^(5+L85))/2+1)/48</f>
        <v>10.6875</v>
      </c>
      <c r="AQ85" s="24">
        <f>IF(AO85="",0,IF(EXACT(RIGHT(AO85,2),"ms"),IF(ABS(VALUE(LEFT(AO85,FIND(" ",AO85,1)))-AP85)/AP85&lt;=0.02,1,-1),-1))</f>
        <v>0</v>
      </c>
      <c r="AR85" s="39">
        <f>M85+P85+S85+V85+Y85+AB85+AE85+AH85+AK85+AN85+AQ85</f>
        <v>8</v>
      </c>
    </row>
    <row r="86" spans="1:44" ht="13.2">
      <c r="A86" s="41">
        <v>84</v>
      </c>
      <c r="B86" s="42">
        <v>41992.762268564817</v>
      </c>
      <c r="C86" s="12" t="s">
        <v>346</v>
      </c>
      <c r="D86" s="12" t="s">
        <v>347</v>
      </c>
      <c r="E86" s="12">
        <v>243653</v>
      </c>
      <c r="F86" s="23">
        <v>1</v>
      </c>
      <c r="G86" s="23">
        <f>INT(E86/100000)</f>
        <v>2</v>
      </c>
      <c r="H86" s="23">
        <f>INT(($E86-100000*G86)/10000)</f>
        <v>4</v>
      </c>
      <c r="I86" s="23">
        <f>INT(($E86-100000*G86-10000*H86)/1000)</f>
        <v>3</v>
      </c>
      <c r="J86" s="23">
        <f>INT(($E86-100000*$G86-10000*$H86-1000*$I86)/100)</f>
        <v>6</v>
      </c>
      <c r="K86" s="23">
        <f>INT(($E86-100000*$G86-10000*$H86-1000*$I86-100*$J86)/10)</f>
        <v>5</v>
      </c>
      <c r="L86" s="23">
        <f>INT(($E86-100000*$G86-10000*$H86-1000*$I86-100*$J86-10*$K86))</f>
        <v>3</v>
      </c>
      <c r="M86" s="24">
        <v>2</v>
      </c>
      <c r="N86" s="12" t="s">
        <v>348</v>
      </c>
      <c r="O86" s="26">
        <f>65+K86+10*LOG10(70+L86)+10*LOG10(100/(100+J86*20))</f>
        <v>85.209001792982505</v>
      </c>
      <c r="P86" s="24">
        <f>IF(N86="",0,IF(EXACT(RIGHT(N86,5),"dB(A)"),IF(ABS(VALUE(LEFT(N86,FIND(" ",N86,1)))-O86)&lt;=0.5,1,-1),-1))</f>
        <v>1</v>
      </c>
      <c r="Q86" s="12" t="s">
        <v>349</v>
      </c>
      <c r="R86" s="26">
        <f>10*LOG10(10^((80+G86)/10)*(10+L86)*1000/16/3600+10^((85+H86)/10)*(10+K86)*3000/16/3600+10^((90+J86)/10)*(10+J86)*100/16/3600)</f>
        <v>88.847525650858501</v>
      </c>
      <c r="S86" s="24">
        <f>IF(Q86="",0,IF(EXACT(RIGHT(Q86,5),"dB(A)"),IF(ABS(VALUE(LEFT(Q86,FIND(" ",Q86,1)))-R86)&lt;=0.5,1,-1),-1))</f>
        <v>1</v>
      </c>
      <c r="T86" s="12" t="s">
        <v>350</v>
      </c>
      <c r="U86" s="30">
        <f>4*(500+K86*10+L86)/(400+J86*10)/340*SQRT(8192/4/0.1)</f>
        <v>2.0240132444929047</v>
      </c>
      <c r="V86" s="24">
        <f>IF(T86="",0,IF(EXACT(RIGHT(T86,2)," s"),IF(ABS(VALUE(LEFT(T86,FIND(" ",T86,1)))-U86)&lt;=0.005,1,-1),-1))</f>
        <v>1</v>
      </c>
      <c r="W86" s="12">
        <v>2048</v>
      </c>
      <c r="X86" s="36">
        <f>8*2^(5+L86)</f>
        <v>2048</v>
      </c>
      <c r="Y86" s="24">
        <f>IF(W86="",0,IF(ABS(W86-X86)&lt;=1,1,-1))</f>
        <v>1</v>
      </c>
      <c r="Z86" s="43"/>
      <c r="AA86" s="26">
        <f>10*LOG10(10^((60+L86-39.4)/10)+10^((63+L86-26.2)/10)+10^((66+L86-16.1)/10)+10^((69+L86-8.6)/10)+10^((72+L86-3.2)/10)+10^((75+L86)/10)+10^((78+L86+1.2)/10)+10^((81+L86+1)/10)+10^((84+L86-1.1)/10)+10^((87+L86-6.6)/10))</f>
        <v>90.684202566927453</v>
      </c>
      <c r="AB86" s="24">
        <f>IF(Z86="",0,IF(EXACT(RIGHT(Z86,5),"dB(A)"),IF(ABS(VALUE(LEFT(Z86,FIND(" ",Z86,1)))-AA86)&lt;=0.2,1,-1),-1))</f>
        <v>0</v>
      </c>
      <c r="AC86" s="12" t="s">
        <v>351</v>
      </c>
      <c r="AD86" s="26">
        <f>10*LOG10((10^((60+L86)/10)*(1+J86)+10^((65+K86)/10)*(2+I86/3))/(1+J86+2+I86/3))</f>
        <v>66.43125215489161</v>
      </c>
      <c r="AE86" s="24">
        <f>IF(AC86="",0,IF(EXACT(RIGHT(AC86,5),"dB(A)"),IF(ABS(VALUE(LEFT(AC86,FIND(" ",AC86,1)))-AD86)&lt;=0.5,1,-1),-1))</f>
        <v>1</v>
      </c>
      <c r="AF86" s="12" t="s">
        <v>352</v>
      </c>
      <c r="AG86" s="26">
        <f>90+K86+10*LOG10(4/(0.16*(300+J86*20)/(1+L86/10)))+3</f>
        <v>86.886340705809744</v>
      </c>
      <c r="AH86" s="24">
        <f>IF(AF86="",0,IF(EXACT(RIGHT(AF86,2),"dB"),IF(ABS(VALUE(LEFT(AF86,FIND(" ",AF86,1)))-AG86)&lt;=0.5,1,-1),-1))</f>
        <v>1</v>
      </c>
      <c r="AI86" s="12" t="s">
        <v>353</v>
      </c>
      <c r="AJ86" s="26">
        <f>10*LOG10(3+40*(2*SQRT(((10+K86)/2)^2+(3+L86/10)^2)-(10+K86))*100*(1+J86)/340)</f>
        <v>20.692589120252585</v>
      </c>
      <c r="AK86" s="24">
        <f>IF(AI86="",0,IF(EXACT(RIGHT(AI86,2),"dB"),IF(ABS(VALUE(LEFT(AI86,FIND(" ",AI86,1)))-AJ86)&lt;=0.5,1,-1),-1))</f>
        <v>-1</v>
      </c>
      <c r="AL86" s="12" t="s">
        <v>354</v>
      </c>
      <c r="AM86" s="26">
        <f>80+L86-(80+K86)</f>
        <v>-2</v>
      </c>
      <c r="AN86" s="24">
        <f>IF(AL86="",0,IF(EXACT(RIGHT(AL86,2),"dB"),IF(ABS(VALUE(LEFT(AL86,FIND(" ",AL86,1)))-AM86)&lt;=0.5,1,-1),-1))</f>
        <v>1</v>
      </c>
      <c r="AO86" s="43"/>
      <c r="AP86" s="30">
        <f>((2^(5+L86))/2+1)/48</f>
        <v>2.6875</v>
      </c>
      <c r="AQ86" s="24">
        <f>IF(AO86="",0,IF(EXACT(RIGHT(AO86,2),"ms"),IF(ABS(VALUE(LEFT(AO86,FIND(" ",AO86,1)))-AP86)/AP86&lt;=0.02,1,-1),-1))</f>
        <v>0</v>
      </c>
      <c r="AR86" s="39">
        <f>M86+P86+S86+V86+Y86+AB86+AE86+AH86+AK86+AN86+AQ86</f>
        <v>8</v>
      </c>
    </row>
    <row r="87" spans="1:44" ht="13.2">
      <c r="A87" s="41">
        <v>85</v>
      </c>
      <c r="B87" s="42">
        <v>41992.762529236112</v>
      </c>
      <c r="C87" s="12" t="s">
        <v>400</v>
      </c>
      <c r="D87" s="12" t="s">
        <v>401</v>
      </c>
      <c r="E87" s="12">
        <v>242601</v>
      </c>
      <c r="F87" s="23">
        <v>1</v>
      </c>
      <c r="G87" s="23">
        <f>INT(E87/100000)</f>
        <v>2</v>
      </c>
      <c r="H87" s="23">
        <f>INT(($E87-100000*G87)/10000)</f>
        <v>4</v>
      </c>
      <c r="I87" s="23">
        <f>INT(($E87-100000*G87-10000*H87)/1000)</f>
        <v>2</v>
      </c>
      <c r="J87" s="23">
        <f>INT(($E87-100000*$G87-10000*$H87-1000*$I87)/100)</f>
        <v>6</v>
      </c>
      <c r="K87" s="23">
        <f>INT(($E87-100000*$G87-10000*$H87-1000*$I87-100*$J87)/10)</f>
        <v>0</v>
      </c>
      <c r="L87" s="23">
        <f>INT(($E87-100000*$G87-10000*$H87-1000*$I87-100*$J87-10*$K87))</f>
        <v>1</v>
      </c>
      <c r="M87" s="24">
        <v>2</v>
      </c>
      <c r="N87" s="12" t="s">
        <v>402</v>
      </c>
      <c r="O87" s="26">
        <f>65+K87+10*LOG10(70+L87)+10*LOG10(100/(100+J87*20))</f>
        <v>80.088356678968694</v>
      </c>
      <c r="P87" s="24">
        <f>IF(N87="",0,IF(EXACT(RIGHT(N87,5),"dB(A)"),IF(ABS(VALUE(LEFT(N87,FIND(" ",N87,1)))-O87)&lt;=0.5,1,-1),-1))</f>
        <v>1</v>
      </c>
      <c r="Q87" s="12" t="s">
        <v>403</v>
      </c>
      <c r="R87" s="26">
        <f>10*LOG10(10^((80+G87)/10)*(10+L87)*1000/16/3600+10^((85+H87)/10)*(10+K87)*3000/16/3600+10^((90+J87)/10)*(10+J87)*100/16/3600)</f>
        <v>87.439524605214061</v>
      </c>
      <c r="S87" s="24">
        <f>IF(Q87="",0,IF(EXACT(RIGHT(Q87,5),"dB(A)"),IF(ABS(VALUE(LEFT(Q87,FIND(" ",Q87,1)))-R87)&lt;=0.5,1,-1),-1))</f>
        <v>1</v>
      </c>
      <c r="T87" s="12" t="s">
        <v>404</v>
      </c>
      <c r="U87" s="30">
        <f>4*(500+K87*10+L87)/(400+J87*10)/340*SQRT(8192/4/0.1)</f>
        <v>1.8336901184284722</v>
      </c>
      <c r="V87" s="24">
        <f>IF(T87="",0,IF(EXACT(RIGHT(T87,2)," s"),IF(ABS(VALUE(LEFT(T87,FIND(" ",T87,1)))-U87)&lt;=0.005,1,-1),-1))</f>
        <v>1</v>
      </c>
      <c r="W87" s="12">
        <v>512</v>
      </c>
      <c r="X87" s="36">
        <f>8*2^(5+L87)</f>
        <v>512</v>
      </c>
      <c r="Y87" s="24">
        <f>IF(W87="",0,IF(ABS(W87-X87)&lt;=1,1,-1))</f>
        <v>1</v>
      </c>
      <c r="Z87" s="12" t="s">
        <v>405</v>
      </c>
      <c r="AA87" s="26">
        <f>10*LOG10(10^((60+L87-39.4)/10)+10^((63+L87-26.2)/10)+10^((66+L87-16.1)/10)+10^((69+L87-8.6)/10)+10^((72+L87-3.2)/10)+10^((75+L87)/10)+10^((78+L87+1.2)/10)+10^((81+L87+1)/10)+10^((84+L87-1.1)/10)+10^((87+L87-6.6)/10))</f>
        <v>88.684202566927453</v>
      </c>
      <c r="AB87" s="24">
        <f>IF(Z87="",0,IF(EXACT(RIGHT(Z87,5),"dB(A)"),IF(ABS(VALUE(LEFT(Z87,FIND(" ",Z87,1)))-AA87)&lt;=0.2,1,-1),-1))</f>
        <v>1</v>
      </c>
      <c r="AC87" s="12" t="s">
        <v>406</v>
      </c>
      <c r="AD87" s="26">
        <f>10*LOG10((10^((60+L87)/10)*(1+J87)+10^((65+K87)/10)*(2+I87/3))/(1+J87+2+I87/3))</f>
        <v>62.513919533546193</v>
      </c>
      <c r="AE87" s="24">
        <f>IF(AC87="",0,IF(EXACT(RIGHT(AC87,5),"dB(A)"),IF(ABS(VALUE(LEFT(AC87,FIND(" ",AC87,1)))-AD87)&lt;=0.5,1,-1),-1))</f>
        <v>1</v>
      </c>
      <c r="AF87" s="12" t="s">
        <v>407</v>
      </c>
      <c r="AG87" s="26">
        <f>90+K87+10*LOG10(4/(0.16*(300+J87*20)/(1+L87/10)))+3</f>
        <v>81.160834034323628</v>
      </c>
      <c r="AH87" s="24">
        <f>IF(AF87="",0,IF(EXACT(RIGHT(AF87,2),"dB"),IF(ABS(VALUE(LEFT(AF87,FIND(" ",AF87,1)))-AG87)&lt;=0.5,1,-1),-1))</f>
        <v>1</v>
      </c>
      <c r="AI87" s="12" t="s">
        <v>408</v>
      </c>
      <c r="AJ87" s="26">
        <f>10*LOG10(3+40*(2*SQRT(((10+K87)/2)^2+(3+L87/10)^2)-(10+K87))*100*(1+J87)/340)</f>
        <v>21.715499147351437</v>
      </c>
      <c r="AK87" s="24">
        <f>IF(AI87="",0,IF(EXACT(RIGHT(AI87,2),"dB"),IF(ABS(VALUE(LEFT(AI87,FIND(" ",AI87,1)))-AJ87)&lt;=0.5,1,-1),-1))</f>
        <v>1</v>
      </c>
      <c r="AL87" s="44">
        <v>1</v>
      </c>
      <c r="AM87" s="26">
        <f>80+L87-(80+K87)</f>
        <v>1</v>
      </c>
      <c r="AN87" s="24">
        <f>IF(AL87="",0,IF(EXACT(RIGHT(AL87,2),"dB"),IF(ABS(VALUE(LEFT(AL87,FIND(" ",AL87,1)))-AM87)&lt;=0.5,1,-1),-1))</f>
        <v>-1</v>
      </c>
      <c r="AO87" s="12" t="s">
        <v>409</v>
      </c>
      <c r="AP87" s="30">
        <f>((2^(5+L87))/2+1)/48</f>
        <v>0.6875</v>
      </c>
      <c r="AQ87" s="24">
        <f>IF(AO87="",0,IF(EXACT(RIGHT(AO87,2),"ms"),IF(ABS(VALUE(LEFT(AO87,FIND(" ",AO87,1)))-AP87)/AP87&lt;=0.02,1,-1),-1))</f>
        <v>-1</v>
      </c>
      <c r="AR87" s="39">
        <f>M87+P87+S87+V87+Y87+AB87+AE87+AH87+AK87+AN87+AQ87</f>
        <v>8</v>
      </c>
    </row>
    <row r="88" spans="1:44" ht="13.2">
      <c r="A88" s="41">
        <v>86</v>
      </c>
      <c r="B88" s="42">
        <v>41992.76255994213</v>
      </c>
      <c r="C88" s="12" t="s">
        <v>410</v>
      </c>
      <c r="D88" s="12" t="s">
        <v>411</v>
      </c>
      <c r="E88" s="12">
        <v>239478</v>
      </c>
      <c r="F88" s="23">
        <v>1</v>
      </c>
      <c r="G88" s="23">
        <f>INT(E88/100000)</f>
        <v>2</v>
      </c>
      <c r="H88" s="23">
        <f>INT(($E88-100000*G88)/10000)</f>
        <v>3</v>
      </c>
      <c r="I88" s="23">
        <f>INT(($E88-100000*G88-10000*H88)/1000)</f>
        <v>9</v>
      </c>
      <c r="J88" s="23">
        <f>INT(($E88-100000*$G88-10000*$H88-1000*$I88)/100)</f>
        <v>4</v>
      </c>
      <c r="K88" s="23">
        <f>INT(($E88-100000*$G88-10000*$H88-1000*$I88-100*$J88)/10)</f>
        <v>7</v>
      </c>
      <c r="L88" s="23">
        <f>INT(($E88-100000*$G88-10000*$H88-1000*$I88-100*$J88-10*$K88))</f>
        <v>8</v>
      </c>
      <c r="M88" s="24">
        <v>2</v>
      </c>
      <c r="N88" s="12" t="s">
        <v>412</v>
      </c>
      <c r="O88" s="26">
        <f>65+K88+10*LOG10(70+L88)+10*LOG10(100/(100+J88*20))</f>
        <v>88.368220975871736</v>
      </c>
      <c r="P88" s="24">
        <f>IF(N88="",0,IF(EXACT(RIGHT(N88,5),"dB(A)"),IF(ABS(VALUE(LEFT(N88,FIND(" ",N88,1)))-O88)&lt;=0.5,1,-1),-1))</f>
        <v>-1</v>
      </c>
      <c r="Q88" s="12" t="s">
        <v>413</v>
      </c>
      <c r="R88" s="26">
        <f>10*LOG10(10^((80+G88)/10)*(10+L88)*1000/16/3600+10^((85+H88)/10)*(10+K88)*3000/16/3600+10^((90+J88)/10)*(10+J88)*100/16/3600)</f>
        <v>88.255824461800984</v>
      </c>
      <c r="S88" s="24">
        <f>IF(Q88="",0,IF(EXACT(RIGHT(Q88,5),"dB(A)"),IF(ABS(VALUE(LEFT(Q88,FIND(" ",Q88,1)))-R88)&lt;=0.5,1,-1),-1))</f>
        <v>1</v>
      </c>
      <c r="T88" s="12" t="s">
        <v>414</v>
      </c>
      <c r="U88" s="30">
        <f>4*(500+K88*10+L88)/(400+J88*10)/340*SQRT(8192/4/0.1)</f>
        <v>2.2116745086543377</v>
      </c>
      <c r="V88" s="24">
        <f>IF(T88="",0,IF(EXACT(RIGHT(T88,2)," s"),IF(ABS(VALUE(LEFT(T88,FIND(" ",T88,1)))-U88)&lt;=0.005,1,-1),-1))</f>
        <v>1</v>
      </c>
      <c r="W88" s="12">
        <v>65536</v>
      </c>
      <c r="X88" s="36">
        <f>8*2^(5+L88)</f>
        <v>65536</v>
      </c>
      <c r="Y88" s="24">
        <f>IF(W88="",0,IF(ABS(W88-X88)&lt;=1,1,-1))</f>
        <v>1</v>
      </c>
      <c r="Z88" s="12" t="s">
        <v>415</v>
      </c>
      <c r="AA88" s="26">
        <f>10*LOG10(10^((60+L88-39.4)/10)+10^((63+L88-26.2)/10)+10^((66+L88-16.1)/10)+10^((69+L88-8.6)/10)+10^((72+L88-3.2)/10)+10^((75+L88)/10)+10^((78+L88+1.2)/10)+10^((81+L88+1)/10)+10^((84+L88-1.1)/10)+10^((87+L88-6.6)/10))</f>
        <v>95.684202566927453</v>
      </c>
      <c r="AB88" s="24">
        <f>IF(Z88="",0,IF(EXACT(RIGHT(Z88,5),"dB(A)"),IF(ABS(VALUE(LEFT(Z88,FIND(" ",Z88,1)))-AA88)&lt;=0.2,1,-1),-1))</f>
        <v>1</v>
      </c>
      <c r="AC88" s="12" t="s">
        <v>416</v>
      </c>
      <c r="AD88" s="26">
        <f>10*LOG10((10^((60+L88)/10)*(1+J88)+10^((65+K88)/10)*(2+I88/3))/(1+J88+2+I88/3))</f>
        <v>70.445104674453134</v>
      </c>
      <c r="AE88" s="24">
        <f>IF(AC88="",0,IF(EXACT(RIGHT(AC88,5),"dB(A)"),IF(ABS(VALUE(LEFT(AC88,FIND(" ",AC88,1)))-AD88)&lt;=0.5,1,-1),-1))</f>
        <v>1</v>
      </c>
      <c r="AF88" s="12" t="s">
        <v>417</v>
      </c>
      <c r="AG88" s="26">
        <f>90+K88+10*LOG10(4/(0.16*(300+J88*20)/(1+L88/10)))+3</f>
        <v>90.734289171585331</v>
      </c>
      <c r="AH88" s="24">
        <f>IF(AF88="",0,IF(EXACT(RIGHT(AF88,2),"dB"),IF(ABS(VALUE(LEFT(AF88,FIND(" ",AF88,1)))-AG88)&lt;=0.5,1,-1),-1))</f>
        <v>1</v>
      </c>
      <c r="AI88" s="12" t="s">
        <v>418</v>
      </c>
      <c r="AJ88" s="26">
        <f>10*LOG10(3+40*(2*SQRT(((10+K88)/2)^2+(3+L88/10)^2)-(10+K88))*100*(1+J88)/340)</f>
        <v>19.929153765824012</v>
      </c>
      <c r="AK88" s="24">
        <f>IF(AI88="",0,IF(EXACT(RIGHT(AI88,2),"dB"),IF(ABS(VALUE(LEFT(AI88,FIND(" ",AI88,1)))-AJ88)&lt;=0.5,1,-1),-1))</f>
        <v>1</v>
      </c>
      <c r="AL88" s="12" t="s">
        <v>419</v>
      </c>
      <c r="AM88" s="26">
        <f>80+L88-(80+K88)</f>
        <v>1</v>
      </c>
      <c r="AN88" s="24">
        <f>IF(AL88="",0,IF(EXACT(RIGHT(AL88,2),"dB"),IF(ABS(VALUE(LEFT(AL88,FIND(" ",AL88,1)))-AM88)&lt;=0.5,1,-1),-1))</f>
        <v>1</v>
      </c>
      <c r="AO88" s="12" t="s">
        <v>420</v>
      </c>
      <c r="AP88" s="30">
        <f>((2^(5+L88))/2+1)/48</f>
        <v>85.354166666666671</v>
      </c>
      <c r="AQ88" s="24">
        <f>IF(AO88="",0,IF(EXACT(RIGHT(AO88,2),"ms"),IF(ABS(VALUE(LEFT(AO88,FIND(" ",AO88,1)))-AP88)/AP88&lt;=0.02,1,-1),-1))</f>
        <v>-1</v>
      </c>
      <c r="AR88" s="39">
        <f>M88+P88+S88+V88+Y88+AB88+AE88+AH88+AK88+AN88+AQ88</f>
        <v>8</v>
      </c>
    </row>
    <row r="89" spans="1:44" ht="13.2">
      <c r="A89" s="41">
        <v>87</v>
      </c>
      <c r="B89" s="42">
        <v>41992.765359733799</v>
      </c>
      <c r="C89" s="12" t="s">
        <v>462</v>
      </c>
      <c r="D89" s="12" t="s">
        <v>463</v>
      </c>
      <c r="E89" s="12">
        <v>233164</v>
      </c>
      <c r="F89" s="23">
        <v>1</v>
      </c>
      <c r="G89" s="23">
        <f>INT(E89/100000)</f>
        <v>2</v>
      </c>
      <c r="H89" s="23">
        <f>INT(($E89-100000*G89)/10000)</f>
        <v>3</v>
      </c>
      <c r="I89" s="23">
        <f>INT(($E89-100000*G89-10000*H89)/1000)</f>
        <v>3</v>
      </c>
      <c r="J89" s="23">
        <f>INT(($E89-100000*$G89-10000*$H89-1000*$I89)/100)</f>
        <v>1</v>
      </c>
      <c r="K89" s="23">
        <f>INT(($E89-100000*$G89-10000*$H89-1000*$I89-100*$J89)/10)</f>
        <v>6</v>
      </c>
      <c r="L89" s="23">
        <f>INT(($E89-100000*$G89-10000*$H89-1000*$I89-100*$J89-10*$K89))</f>
        <v>4</v>
      </c>
      <c r="M89" s="24">
        <v>2</v>
      </c>
      <c r="N89" s="12" t="s">
        <v>464</v>
      </c>
      <c r="O89" s="26">
        <f>65+K89+10*LOG10(70+L89)+10*LOG10(100/(100+J89*20))</f>
        <v>88.900504736833511</v>
      </c>
      <c r="P89" s="24">
        <f>IF(N89="",0,IF(EXACT(RIGHT(N89,5),"dB(A)"),IF(ABS(VALUE(LEFT(N89,FIND(" ",N89,1)))-O89)&lt;=0.5,1,-1),-1))</f>
        <v>1</v>
      </c>
      <c r="Q89" s="12" t="s">
        <v>465</v>
      </c>
      <c r="R89" s="26">
        <f>10*LOG10(10^((80+G89)/10)*(10+L89)*1000/16/3600+10^((85+H89)/10)*(10+K89)*3000/16/3600+10^((90+J89)/10)*(10+J89)*100/16/3600)</f>
        <v>87.696442280225938</v>
      </c>
      <c r="S89" s="24">
        <f>IF(Q89="",0,IF(EXACT(RIGHT(Q89,5),"dB(A)"),IF(ABS(VALUE(LEFT(Q89,FIND(" ",Q89,1)))-R89)&lt;=0.5,1,-1),-1))</f>
        <v>-1</v>
      </c>
      <c r="T89" s="12" t="s">
        <v>466</v>
      </c>
      <c r="U89" s="30">
        <f>4*(500+K89*10+L89)/(400+J89*10)/340*SQRT(8192/4/0.1)</f>
        <v>2.3160146259923216</v>
      </c>
      <c r="V89" s="24">
        <f>IF(T89="",0,IF(EXACT(RIGHT(T89,2)," s"),IF(ABS(VALUE(LEFT(T89,FIND(" ",T89,1)))-U89)&lt;=0.005,1,-1),-1))</f>
        <v>1</v>
      </c>
      <c r="W89" s="12">
        <v>4096</v>
      </c>
      <c r="X89" s="36">
        <f>8*2^(5+L89)</f>
        <v>4096</v>
      </c>
      <c r="Y89" s="24">
        <f>IF(W89="",0,IF(ABS(W89-X89)&lt;=1,1,-1))</f>
        <v>1</v>
      </c>
      <c r="Z89" s="12" t="s">
        <v>467</v>
      </c>
      <c r="AA89" s="26">
        <f>10*LOG10(10^((60+L89-39.4)/10)+10^((63+L89-26.2)/10)+10^((66+L89-16.1)/10)+10^((69+L89-8.6)/10)+10^((72+L89-3.2)/10)+10^((75+L89)/10)+10^((78+L89+1.2)/10)+10^((81+L89+1)/10)+10^((84+L89-1.1)/10)+10^((87+L89-6.6)/10))</f>
        <v>91.684202566927439</v>
      </c>
      <c r="AB89" s="24">
        <f>IF(Z89="",0,IF(EXACT(RIGHT(Z89,5),"dB(A)"),IF(ABS(VALUE(LEFT(Z89,FIND(" ",Z89,1)))-AA89)&lt;=0.2,1,-1),-1))</f>
        <v>1</v>
      </c>
      <c r="AC89" s="12" t="s">
        <v>468</v>
      </c>
      <c r="AD89" s="26">
        <f>10*LOG10((10^((60+L89)/10)*(1+J89)+10^((65+K89)/10)*(2+I89/3))/(1+J89+2+I89/3))</f>
        <v>69.323878634576516</v>
      </c>
      <c r="AE89" s="24">
        <f>IF(AC89="",0,IF(EXACT(RIGHT(AC89,5),"dB(A)"),IF(ABS(VALUE(LEFT(AC89,FIND(" ",AC89,1)))-AD89)&lt;=0.5,1,-1),-1))</f>
        <v>1</v>
      </c>
      <c r="AF89" s="12" t="s">
        <v>469</v>
      </c>
      <c r="AG89" s="26">
        <f>90+K89+10*LOG10(4/(0.16*(300+J89*20)/(1+L89/10)))+3</f>
        <v>89.389180660303694</v>
      </c>
      <c r="AH89" s="24">
        <f>IF(AF89="",0,IF(EXACT(RIGHT(AF89,2),"dB"),IF(ABS(VALUE(LEFT(AF89,FIND(" ",AF89,1)))-AG89)&lt;=0.5,1,-1),-1))</f>
        <v>1</v>
      </c>
      <c r="AI89" s="12" t="s">
        <v>470</v>
      </c>
      <c r="AJ89" s="26">
        <f>10*LOG10(3+40*(2*SQRT(((10+K89)/2)^2+(3+L89/10)^2)-(10+K89))*100*(1+J89)/340)</f>
        <v>15.513211112711797</v>
      </c>
      <c r="AK89" s="24">
        <f>IF(AI89="",0,IF(EXACT(RIGHT(AI89,2),"dB"),IF(ABS(VALUE(LEFT(AI89,FIND(" ",AI89,1)))-AJ89)&lt;=0.5,1,-1),-1))</f>
        <v>1</v>
      </c>
      <c r="AL89" s="12" t="s">
        <v>471</v>
      </c>
      <c r="AM89" s="26">
        <f>80+L89-(80+K89)</f>
        <v>-2</v>
      </c>
      <c r="AN89" s="24">
        <f>IF(AL89="",0,IF(EXACT(RIGHT(AL89,2),"dB"),IF(ABS(VALUE(LEFT(AL89,FIND(" ",AL89,1)))-AM89)&lt;=0.5,1,-1),-1))</f>
        <v>1</v>
      </c>
      <c r="AO89" s="12" t="s">
        <v>472</v>
      </c>
      <c r="AP89" s="30">
        <f>((2^(5+L89))/2+1)/48</f>
        <v>5.354166666666667</v>
      </c>
      <c r="AQ89" s="24">
        <f>IF(AO89="",0,IF(EXACT(RIGHT(AO89,2),"ms"),IF(ABS(VALUE(LEFT(AO89,FIND(" ",AO89,1)))-AP89)/AP89&lt;=0.02,1,-1),-1))</f>
        <v>-1</v>
      </c>
      <c r="AR89" s="39">
        <f>M89+P89+S89+V89+Y89+AB89+AE89+AH89+AK89+AN89+AQ89</f>
        <v>8</v>
      </c>
    </row>
    <row r="90" spans="1:44" ht="13.2">
      <c r="A90" s="41">
        <v>88</v>
      </c>
      <c r="B90" s="42">
        <v>41992.763653703696</v>
      </c>
      <c r="C90" s="12" t="s">
        <v>516</v>
      </c>
      <c r="D90" s="12" t="s">
        <v>517</v>
      </c>
      <c r="E90" s="12">
        <v>241044</v>
      </c>
      <c r="F90" s="23">
        <v>1</v>
      </c>
      <c r="G90" s="23">
        <f>INT(E90/100000)</f>
        <v>2</v>
      </c>
      <c r="H90" s="23">
        <f>INT(($E90-100000*G90)/10000)</f>
        <v>4</v>
      </c>
      <c r="I90" s="23">
        <f>INT(($E90-100000*G90-10000*H90)/1000)</f>
        <v>1</v>
      </c>
      <c r="J90" s="23">
        <f>INT(($E90-100000*$G90-10000*$H90-1000*$I90)/100)</f>
        <v>0</v>
      </c>
      <c r="K90" s="23">
        <f>INT(($E90-100000*$G90-10000*$H90-1000*$I90-100*$J90)/10)</f>
        <v>4</v>
      </c>
      <c r="L90" s="23">
        <f>INT(($E90-100000*$G90-10000*$H90-1000*$I90-100*$J90-10*$K90))</f>
        <v>4</v>
      </c>
      <c r="M90" s="24">
        <v>2</v>
      </c>
      <c r="N90" s="12" t="s">
        <v>518</v>
      </c>
      <c r="O90" s="26">
        <f>65+K90+10*LOG10(70+L90)+10*LOG10(100/(100+J90*20))</f>
        <v>87.692317197309762</v>
      </c>
      <c r="P90" s="24">
        <f>IF(N90="",0,IF(EXACT(RIGHT(N90,5),"dB(A)"),IF(ABS(VALUE(LEFT(N90,FIND(" ",N90,1)))-O90)&lt;=0.5,1,-1),-1))</f>
        <v>1</v>
      </c>
      <c r="Q90" s="12" t="s">
        <v>519</v>
      </c>
      <c r="R90" s="26">
        <f>10*LOG10(10^((80+G90)/10)*(10+L90)*1000/16/3600+10^((85+H90)/10)*(10+K90)*3000/16/3600+10^((90+J90)/10)*(10+J90)*100/16/3600)</f>
        <v>88.028287724267813</v>
      </c>
      <c r="S90" s="24">
        <f>IF(Q90="",0,IF(EXACT(RIGHT(Q90,5),"dB(A)"),IF(ABS(VALUE(LEFT(Q90,FIND(" ",Q90,1)))-R90)&lt;=0.5,1,-1),-1))</f>
        <v>1</v>
      </c>
      <c r="T90" s="12" t="s">
        <v>520</v>
      </c>
      <c r="U90" s="30">
        <f>4*(500+K90*10+L90)/(400+J90*10)/340*SQRT(8192/4/0.1)</f>
        <v>2.2897336089597848</v>
      </c>
      <c r="V90" s="24">
        <f>IF(T90="",0,IF(EXACT(RIGHT(T90,2)," s"),IF(ABS(VALUE(LEFT(T90,FIND(" ",T90,1)))-U90)&lt;=0.005,1,-1),-1))</f>
        <v>1</v>
      </c>
      <c r="W90" s="12">
        <v>4096</v>
      </c>
      <c r="X90" s="36">
        <f>8*2^(5+L90)</f>
        <v>4096</v>
      </c>
      <c r="Y90" s="24">
        <f>IF(W90="",0,IF(ABS(W90-X90)&lt;=1,1,-1))</f>
        <v>1</v>
      </c>
      <c r="Z90" s="12" t="s">
        <v>521</v>
      </c>
      <c r="AA90" s="26">
        <f>10*LOG10(10^((60+L90-39.4)/10)+10^((63+L90-26.2)/10)+10^((66+L90-16.1)/10)+10^((69+L90-8.6)/10)+10^((72+L90-3.2)/10)+10^((75+L90)/10)+10^((78+L90+1.2)/10)+10^((81+L90+1)/10)+10^((84+L90-1.1)/10)+10^((87+L90-6.6)/10))</f>
        <v>91.684202566927439</v>
      </c>
      <c r="AB90" s="24">
        <f>IF(Z90="",0,IF(EXACT(RIGHT(Z90,5),"dB(A)"),IF(ABS(VALUE(LEFT(Z90,FIND(" ",Z90,1)))-AA90)&lt;=0.2,1,-1),-1))</f>
        <v>1</v>
      </c>
      <c r="AC90" s="12" t="s">
        <v>522</v>
      </c>
      <c r="AD90" s="26">
        <f>10*LOG10((10^((60+L90)/10)*(1+J90)+10^((65+K90)/10)*(2+I90/3))/(1+J90+2+I90/3))</f>
        <v>68.002951935934774</v>
      </c>
      <c r="AE90" s="24">
        <f>IF(AC90="",0,IF(EXACT(RIGHT(AC90,5),"dB(A)"),IF(ABS(VALUE(LEFT(AC90,FIND(" ",AC90,1)))-AD90)&lt;=0.5,1,-1),-1))</f>
        <v>1</v>
      </c>
      <c r="AF90" s="12" t="s">
        <v>523</v>
      </c>
      <c r="AG90" s="26">
        <f>90+K90+10*LOG10(4/(0.16*(300+J90*20)/(1+L90/10)))+3</f>
        <v>87.669467896306131</v>
      </c>
      <c r="AH90" s="24">
        <f>IF(AF90="",0,IF(EXACT(RIGHT(AF90,2),"dB"),IF(ABS(VALUE(LEFT(AF90,FIND(" ",AF90,1)))-AG90)&lt;=0.5,1,-1),-1))</f>
        <v>1</v>
      </c>
      <c r="AI90" s="12" t="s">
        <v>524</v>
      </c>
      <c r="AJ90" s="26">
        <f>10*LOG10(3+40*(2*SQRT(((10+K90)/2)^2+(3+L90/10)^2)-(10+K90))*100*(1+J90)/340)</f>
        <v>13.304283769241195</v>
      </c>
      <c r="AK90" s="24">
        <f>IF(AI90="",0,IF(EXACT(RIGHT(AI90,2),"dB"),IF(ABS(VALUE(LEFT(AI90,FIND(" ",AI90,1)))-AJ90)&lt;=0.5,1,-1),-1))</f>
        <v>-1</v>
      </c>
      <c r="AL90" s="12" t="s">
        <v>525</v>
      </c>
      <c r="AM90" s="26">
        <f>80+L90-(80+K90)</f>
        <v>0</v>
      </c>
      <c r="AN90" s="24">
        <f>IF(AL90="",0,IF(EXACT(RIGHT(AL90,2),"dB"),IF(ABS(VALUE(LEFT(AL90,FIND(" ",AL90,1)))-AM90)&lt;=0.5,1,-1),-1))</f>
        <v>1</v>
      </c>
      <c r="AO90" s="12" t="s">
        <v>526</v>
      </c>
      <c r="AP90" s="30">
        <f>((2^(5+L90))/2+1)/48</f>
        <v>5.354166666666667</v>
      </c>
      <c r="AQ90" s="24">
        <f>IF(AO90="",0,IF(EXACT(RIGHT(AO90,2),"ms"),IF(ABS(VALUE(LEFT(AO90,FIND(" ",AO90,1)))-AP90)/AP90&lt;=0.02,1,-1),-1))</f>
        <v>-1</v>
      </c>
      <c r="AR90" s="39">
        <f>M90+P90+S90+V90+Y90+AB90+AE90+AH90+AK90+AN90+AQ90</f>
        <v>8</v>
      </c>
    </row>
    <row r="91" spans="1:44" ht="13.2">
      <c r="A91" s="41">
        <v>89</v>
      </c>
      <c r="B91" s="42">
        <v>41992.763730150466</v>
      </c>
      <c r="C91" s="12" t="s">
        <v>549</v>
      </c>
      <c r="D91" s="12" t="s">
        <v>550</v>
      </c>
      <c r="E91" s="12">
        <v>241040</v>
      </c>
      <c r="F91" s="23">
        <v>1</v>
      </c>
      <c r="G91" s="23">
        <f>INT(E91/100000)</f>
        <v>2</v>
      </c>
      <c r="H91" s="23">
        <f>INT(($E91-100000*G91)/10000)</f>
        <v>4</v>
      </c>
      <c r="I91" s="23">
        <f>INT(($E91-100000*G91-10000*H91)/1000)</f>
        <v>1</v>
      </c>
      <c r="J91" s="23">
        <f>INT(($E91-100000*$G91-10000*$H91-1000*$I91)/100)</f>
        <v>0</v>
      </c>
      <c r="K91" s="23">
        <f>INT(($E91-100000*$G91-10000*$H91-1000*$I91-100*$J91)/10)</f>
        <v>4</v>
      </c>
      <c r="L91" s="23">
        <f>INT(($E91-100000*$G91-10000*$H91-1000*$I91-100*$J91-10*$K91))</f>
        <v>0</v>
      </c>
      <c r="M91" s="24">
        <v>2</v>
      </c>
      <c r="N91" s="12" t="s">
        <v>551</v>
      </c>
      <c r="O91" s="26">
        <f>65+K91+10*LOG10(70+L91)+10*LOG10(100/(100+J91*20))</f>
        <v>87.450980400142569</v>
      </c>
      <c r="P91" s="24">
        <f>IF(N91="",0,IF(EXACT(RIGHT(N91,5),"dB(A)"),IF(ABS(VALUE(LEFT(N91,FIND(" ",N91,1)))-O91)&lt;=0.5,1,-1),-1))</f>
        <v>1</v>
      </c>
      <c r="Q91" s="12" t="s">
        <v>552</v>
      </c>
      <c r="R91" s="26">
        <f>10*LOG10(10^((80+G91)/10)*(10+L91)*1000/16/3600+10^((85+H91)/10)*(10+K91)*3000/16/3600+10^((90+J91)/10)*(10+J91)*100/16/3600)</f>
        <v>87.952362906698937</v>
      </c>
      <c r="S91" s="24">
        <f>IF(Q91="",0,IF(EXACT(RIGHT(Q91,5),"dB(A)"),IF(ABS(VALUE(LEFT(Q91,FIND(" ",Q91,1)))-R91)&lt;=0.5,1,-1),-1))</f>
        <v>1</v>
      </c>
      <c r="T91" s="12" t="s">
        <v>553</v>
      </c>
      <c r="U91" s="30">
        <f>4*(500+K91*10+L91)/(400+J91*10)/340*SQRT(8192/4/0.1)</f>
        <v>2.2728973324233159</v>
      </c>
      <c r="V91" s="24">
        <f>IF(T91="",0,IF(EXACT(RIGHT(T91,2)," s"),IF(ABS(VALUE(LEFT(T91,FIND(" ",T91,1)))-U91)&lt;=0.005,1,-1),-1))</f>
        <v>1</v>
      </c>
      <c r="W91" s="12">
        <v>256</v>
      </c>
      <c r="X91" s="36">
        <f>8*2^(5+L91)</f>
        <v>256</v>
      </c>
      <c r="Y91" s="24">
        <f>IF(W91="",0,IF(ABS(W91-X91)&lt;=1,1,-1))</f>
        <v>1</v>
      </c>
      <c r="Z91" s="12" t="s">
        <v>554</v>
      </c>
      <c r="AA91" s="26">
        <f>10*LOG10(10^((60+L91-39.4)/10)+10^((63+L91-26.2)/10)+10^((66+L91-16.1)/10)+10^((69+L91-8.6)/10)+10^((72+L91-3.2)/10)+10^((75+L91)/10)+10^((78+L91+1.2)/10)+10^((81+L91+1)/10)+10^((84+L91-1.1)/10)+10^((87+L91-6.6)/10))</f>
        <v>87.684202566927468</v>
      </c>
      <c r="AB91" s="24">
        <f>IF(Z91="",0,IF(EXACT(RIGHT(Z91,5),"dB(A)"),IF(ABS(VALUE(LEFT(Z91,FIND(" ",Z91,1)))-AA91)&lt;=0.2,1,-1),-1))</f>
        <v>1</v>
      </c>
      <c r="AC91" s="12" t="s">
        <v>555</v>
      </c>
      <c r="AD91" s="26">
        <f>10*LOG10((10^((60+L91)/10)*(1+J91)+10^((65+K91)/10)*(2+I91/3))/(1+J91+2+I91/3))</f>
        <v>67.679196742877409</v>
      </c>
      <c r="AE91" s="24">
        <f>IF(AC91="",0,IF(EXACT(RIGHT(AC91,5),"dB(A)"),IF(ABS(VALUE(LEFT(AC91,FIND(" ",AC91,1)))-AD91)&lt;=0.5,1,-1),-1))</f>
        <v>1</v>
      </c>
      <c r="AF91" s="12" t="s">
        <v>556</v>
      </c>
      <c r="AG91" s="26">
        <f>90+K91+10*LOG10(4/(0.16*(300+J91*20)/(1+L91/10)))+3</f>
        <v>86.208187539523749</v>
      </c>
      <c r="AH91" s="24">
        <f>IF(AF91="",0,IF(EXACT(RIGHT(AF91,2),"dB"),IF(ABS(VALUE(LEFT(AF91,FIND(" ",AF91,1)))-AG91)&lt;=0.5,1,-1),-1))</f>
        <v>1</v>
      </c>
      <c r="AI91" s="12" t="s">
        <v>557</v>
      </c>
      <c r="AJ91" s="26">
        <f>10*LOG10(3+40*(2*SQRT(((10+K91)/2)^2+(3+L91/10)^2)-(10+K91))*100*(1+J91)/340)</f>
        <v>12.427594887929876</v>
      </c>
      <c r="AK91" s="24">
        <f>IF(AI91="",0,IF(EXACT(RIGHT(AI91,2),"dB"),IF(ABS(VALUE(LEFT(AI91,FIND(" ",AI91,1)))-AJ91)&lt;=0.5,1,-1),-1))</f>
        <v>-1</v>
      </c>
      <c r="AL91" s="12" t="s">
        <v>558</v>
      </c>
      <c r="AM91" s="26">
        <f>80+L91-(80+K91)</f>
        <v>-4</v>
      </c>
      <c r="AN91" s="24">
        <f>IF(AL91="",0,IF(EXACT(RIGHT(AL91,2),"dB"),IF(ABS(VALUE(LEFT(AL91,FIND(" ",AL91,1)))-AM91)&lt;=0.5,1,-1),-1))</f>
        <v>1</v>
      </c>
      <c r="AO91" s="12" t="s">
        <v>559</v>
      </c>
      <c r="AP91" s="30">
        <f>((2^(5+L91))/2+1)/48</f>
        <v>0.35416666666666669</v>
      </c>
      <c r="AQ91" s="24">
        <f>IF(AO91="",0,IF(EXACT(RIGHT(AO91,2),"ms"),IF(ABS(VALUE(LEFT(AO91,FIND(" ",AO91,1)))-AP91)/AP91&lt;=0.02,1,-1),-1))</f>
        <v>-1</v>
      </c>
      <c r="AR91" s="39">
        <f>M91+P91+S91+V91+Y91+AB91+AE91+AH91+AK91+AN91+AQ91</f>
        <v>8</v>
      </c>
    </row>
    <row r="92" spans="1:44" ht="13.2">
      <c r="A92" s="41">
        <v>90</v>
      </c>
      <c r="B92" s="42">
        <v>41992.764481932871</v>
      </c>
      <c r="C92" s="12" t="s">
        <v>654</v>
      </c>
      <c r="D92" s="12" t="s">
        <v>655</v>
      </c>
      <c r="E92" s="12">
        <v>243632</v>
      </c>
      <c r="F92" s="23">
        <v>1</v>
      </c>
      <c r="G92" s="23">
        <f>INT(E92/100000)</f>
        <v>2</v>
      </c>
      <c r="H92" s="23">
        <f>INT(($E92-100000*G92)/10000)</f>
        <v>4</v>
      </c>
      <c r="I92" s="23">
        <f>INT(($E92-100000*G92-10000*H92)/1000)</f>
        <v>3</v>
      </c>
      <c r="J92" s="23">
        <f>INT(($E92-100000*$G92-10000*$H92-1000*$I92)/100)</f>
        <v>6</v>
      </c>
      <c r="K92" s="23">
        <f>INT(($E92-100000*$G92-10000*$H92-1000*$I92-100*$J92)/10)</f>
        <v>3</v>
      </c>
      <c r="L92" s="23">
        <f>INT(($E92-100000*$G92-10000*$H92-1000*$I92-100*$J92-10*$K92))</f>
        <v>2</v>
      </c>
      <c r="M92" s="24">
        <v>2</v>
      </c>
      <c r="N92" s="12" t="s">
        <v>656</v>
      </c>
      <c r="O92" s="26">
        <f>65+K92+10*LOG10(70+L92)+10*LOG10(100/(100+J92*20))</f>
        <v>83.149098156090631</v>
      </c>
      <c r="P92" s="24">
        <f>IF(N92="",0,IF(EXACT(RIGHT(N92,5),"dB(A)"),IF(ABS(VALUE(LEFT(N92,FIND(" ",N92,1)))-O92)&lt;=0.5,1,-1),-1))</f>
        <v>1</v>
      </c>
      <c r="Q92" s="12" t="s">
        <v>657</v>
      </c>
      <c r="R92" s="26">
        <f>10*LOG10(10^((80+G92)/10)*(10+L92)*1000/16/3600+10^((85+H92)/10)*(10+K92)*3000/16/3600+10^((90+J92)/10)*(10+J92)*100/16/3600)</f>
        <v>88.334214676260501</v>
      </c>
      <c r="S92" s="24">
        <f>IF(Q92="",0,IF(EXACT(RIGHT(Q92,5),"dB(A)"),IF(ABS(VALUE(LEFT(Q92,FIND(" ",Q92,1)))-R92)&lt;=0.5,1,-1),-1))</f>
        <v>1</v>
      </c>
      <c r="T92" s="12" t="s">
        <v>658</v>
      </c>
      <c r="U92" s="30">
        <f>4*(500+K92*10+L92)/(400+J92*10)/340*SQRT(8192/4/0.1)</f>
        <v>1.9471519820438068</v>
      </c>
      <c r="V92" s="24">
        <f>IF(T92="",0,IF(EXACT(RIGHT(T92,2)," s"),IF(ABS(VALUE(LEFT(T92,FIND(" ",T92,1)))-U92)&lt;=0.005,1,-1),-1))</f>
        <v>1</v>
      </c>
      <c r="W92" s="12">
        <v>1024</v>
      </c>
      <c r="X92" s="36">
        <f>8*2^(5+L92)</f>
        <v>1024</v>
      </c>
      <c r="Y92" s="24">
        <f>IF(W92="",0,IF(ABS(W92-X92)&lt;=1,1,-1))</f>
        <v>1</v>
      </c>
      <c r="Z92" s="44" t="s">
        <v>659</v>
      </c>
      <c r="AA92" s="26">
        <f>10*LOG10(10^((60+L92-39.4)/10)+10^((63+L92-26.2)/10)+10^((66+L92-16.1)/10)+10^((69+L92-8.6)/10)+10^((72+L92-3.2)/10)+10^((75+L92)/10)+10^((78+L92+1.2)/10)+10^((81+L92+1)/10)+10^((84+L92-1.1)/10)+10^((87+L92-6.6)/10))</f>
        <v>89.684202566927453</v>
      </c>
      <c r="AB92" s="24">
        <f>IF(Z92="",0,IF(EXACT(RIGHT(Z92,5),"dB(A)"),IF(ABS(VALUE(LEFT(Z92,FIND(" ",Z92,1)))-AA92)&lt;=0.2,1,-1),-1))</f>
        <v>-1</v>
      </c>
      <c r="AC92" s="12" t="s">
        <v>660</v>
      </c>
      <c r="AD92" s="26">
        <f>10*LOG10((10^((60+L92)/10)*(1+J92)+10^((65+K92)/10)*(2+I92/3))/(1+J92+2+I92/3))</f>
        <v>64.774536910822547</v>
      </c>
      <c r="AE92" s="24">
        <f>IF(AC92="",0,IF(EXACT(RIGHT(AC92,5),"dB(A)"),IF(ABS(VALUE(LEFT(AC92,FIND(" ",AC92,1)))-AD92)&lt;=0.5,1,-1),-1))</f>
        <v>1</v>
      </c>
      <c r="AF92" s="12" t="s">
        <v>661</v>
      </c>
      <c r="AG92" s="26">
        <f>90+K92+10*LOG10(4/(0.16*(300+J92*20)/(1+L92/10)))+3</f>
        <v>84.538719643217618</v>
      </c>
      <c r="AH92" s="24">
        <f>IF(AF92="",0,IF(EXACT(RIGHT(AF92,2),"dB"),IF(ABS(VALUE(LEFT(AF92,FIND(" ",AF92,1)))-AG92)&lt;=0.5,1,-1),-1))</f>
        <v>1</v>
      </c>
      <c r="AI92" s="45" t="s">
        <v>662</v>
      </c>
      <c r="AJ92" s="26">
        <f>10*LOG10(3+40*(2*SQRT(((10+K92)/2)^2+(3+L92/10)^2)-(10+K92))*100*(1+J92)/340)</f>
        <v>20.993546190152781</v>
      </c>
      <c r="AK92" s="24">
        <f>IF(AI92="",0,IF(EXACT(RIGHT(AI92,2),"dB"),IF(ABS(VALUE(LEFT(AI92,FIND(" ",AI92,1)))-AJ92)&lt;=0.5,1,-1),-1))</f>
        <v>-1</v>
      </c>
      <c r="AL92" s="12" t="s">
        <v>663</v>
      </c>
      <c r="AM92" s="26">
        <f>80+L92-(80+K92)</f>
        <v>-1</v>
      </c>
      <c r="AN92" s="24">
        <f>IF(AL92="",0,IF(EXACT(RIGHT(AL92,2),"dB"),IF(ABS(VALUE(LEFT(AL92,FIND(" ",AL92,1)))-AM92)&lt;=0.5,1,-1),-1))</f>
        <v>1</v>
      </c>
      <c r="AO92" s="12" t="s">
        <v>664</v>
      </c>
      <c r="AP92" s="30">
        <f>((2^(5+L92))/2+1)/48</f>
        <v>1.3541666666666667</v>
      </c>
      <c r="AQ92" s="24">
        <f>IF(AO92="",0,IF(EXACT(RIGHT(AO92,2),"ms"),IF(ABS(VALUE(LEFT(AO92,FIND(" ",AO92,1)))-AP92)/AP92&lt;=0.02,1,-1),-1))</f>
        <v>1</v>
      </c>
      <c r="AR92" s="39">
        <f>M92+P92+S92+V92+Y92+AB92+AE92+AH92+AK92+AN92+AQ92</f>
        <v>8</v>
      </c>
    </row>
    <row r="93" spans="1:44" ht="13.2">
      <c r="A93" s="41">
        <v>91</v>
      </c>
      <c r="B93" s="42">
        <v>41992.766013796288</v>
      </c>
      <c r="C93" s="12" t="s">
        <v>939</v>
      </c>
      <c r="D93" s="12" t="s">
        <v>940</v>
      </c>
      <c r="E93" s="12">
        <v>233172</v>
      </c>
      <c r="F93" s="23">
        <v>1</v>
      </c>
      <c r="G93" s="23">
        <f>INT(E93/100000)</f>
        <v>2</v>
      </c>
      <c r="H93" s="23">
        <f>INT(($E93-100000*G93)/10000)</f>
        <v>3</v>
      </c>
      <c r="I93" s="23">
        <f>INT(($E93-100000*G93-10000*H93)/1000)</f>
        <v>3</v>
      </c>
      <c r="J93" s="23">
        <f>INT(($E93-100000*$G93-10000*$H93-1000*$I93)/100)</f>
        <v>1</v>
      </c>
      <c r="K93" s="23">
        <f>INT(($E93-100000*$G93-10000*$H93-1000*$I93-100*$J93)/10)</f>
        <v>7</v>
      </c>
      <c r="L93" s="23">
        <f>INT(($E93-100000*$G93-10000*$H93-1000*$I93-100*$J93-10*$K93))</f>
        <v>2</v>
      </c>
      <c r="M93" s="24">
        <v>2</v>
      </c>
      <c r="N93" s="12" t="s">
        <v>941</v>
      </c>
      <c r="O93" s="26">
        <f>65+K93+10*LOG10(70+L93)+10*LOG10(100/(100+J93*20))</f>
        <v>89.781512503836439</v>
      </c>
      <c r="P93" s="24">
        <f>IF(N93="",0,IF(EXACT(RIGHT(N93,5),"dB(A)"),IF(ABS(VALUE(LEFT(N93,FIND(" ",N93,1)))-O93)&lt;=0.5,1,-1),-1))</f>
        <v>1</v>
      </c>
      <c r="Q93" s="12" t="s">
        <v>942</v>
      </c>
      <c r="R93" s="26">
        <f>10*LOG10(10^((80+G93)/10)*(10+L93)*1000/16/3600+10^((85+H93)/10)*(10+K93)*3000/16/3600+10^((90+J93)/10)*(10+J93)*100/16/3600)</f>
        <v>87.893837793316635</v>
      </c>
      <c r="S93" s="24">
        <f>IF(Q93="",0,IF(EXACT(RIGHT(Q93,5),"dB(A)"),IF(ABS(VALUE(LEFT(Q93,FIND(" ",Q93,1)))-R93)&lt;=0.5,1,-1),-1))</f>
        <v>1</v>
      </c>
      <c r="T93" s="45" t="s">
        <v>943</v>
      </c>
      <c r="U93" s="30">
        <f>4*(500+K93*10+L93)/(400+J93*10)/340*SQRT(8192/4/0.1)</f>
        <v>2.3488658972829928</v>
      </c>
      <c r="V93" s="24">
        <f>IF(T93="",0,IF(EXACT(RIGHT(T93,2)," s"),IF(ABS(VALUE(LEFT(T93,FIND(" ",T93,1)))-U93)&lt;=0.005,1,-1),-1))</f>
        <v>-1</v>
      </c>
      <c r="W93" s="12">
        <v>1024</v>
      </c>
      <c r="X93" s="36">
        <f>8*2^(5+L93)</f>
        <v>1024</v>
      </c>
      <c r="Y93" s="24">
        <f>IF(W93="",0,IF(ABS(W93-X93)&lt;=1,1,-1))</f>
        <v>1</v>
      </c>
      <c r="Z93" s="12" t="s">
        <v>944</v>
      </c>
      <c r="AA93" s="26">
        <f>10*LOG10(10^((60+L93-39.4)/10)+10^((63+L93-26.2)/10)+10^((66+L93-16.1)/10)+10^((69+L93-8.6)/10)+10^((72+L93-3.2)/10)+10^((75+L93)/10)+10^((78+L93+1.2)/10)+10^((81+L93+1)/10)+10^((84+L93-1.1)/10)+10^((87+L93-6.6)/10))</f>
        <v>89.684202566927453</v>
      </c>
      <c r="AB93" s="24">
        <f>IF(Z93="",0,IF(EXACT(RIGHT(Z93,5),"dB(A)"),IF(ABS(VALUE(LEFT(Z93,FIND(" ",Z93,1)))-AA93)&lt;=0.2,1,-1),-1))</f>
        <v>1</v>
      </c>
      <c r="AC93" s="12" t="s">
        <v>945</v>
      </c>
      <c r="AD93" s="26">
        <f>10*LOG10((10^((60+L93)/10)*(1+J93)+10^((65+K93)/10)*(2+I93/3))/(1+J93+2+I93/3))</f>
        <v>70.061799739838875</v>
      </c>
      <c r="AE93" s="24">
        <f>IF(AC93="",0,IF(EXACT(RIGHT(AC93,5),"dB(A)"),IF(ABS(VALUE(LEFT(AC93,FIND(" ",AC93,1)))-AD93)&lt;=0.5,1,-1),-1))</f>
        <v>1</v>
      </c>
      <c r="AF93" s="12" t="s">
        <v>946</v>
      </c>
      <c r="AG93" s="26">
        <f>90+K93+10*LOG10(4/(0.16*(300+J93*20)/(1+L93/10)))+3</f>
        <v>89.719712763997563</v>
      </c>
      <c r="AH93" s="24">
        <f>IF(AF93="",0,IF(EXACT(RIGHT(AF93,2),"dB"),IF(ABS(VALUE(LEFT(AF93,FIND(" ",AF93,1)))-AG93)&lt;=0.5,1,-1),-1))</f>
        <v>1</v>
      </c>
      <c r="AI93" s="12" t="s">
        <v>947</v>
      </c>
      <c r="AJ93" s="26">
        <f>10*LOG10(3+40*(2*SQRT(((10+K93)/2)^2+(3+L93/10)^2)-(10+K93))*100*(1+J93)/340)</f>
        <v>14.829747931708848</v>
      </c>
      <c r="AK93" s="24">
        <f>IF(AI93="",0,IF(EXACT(RIGHT(AI93,2),"dB"),IF(ABS(VALUE(LEFT(AI93,FIND(" ",AI93,1)))-AJ93)&lt;=0.5,1,-1),-1))</f>
        <v>-1</v>
      </c>
      <c r="AL93" s="12" t="s">
        <v>948</v>
      </c>
      <c r="AM93" s="26">
        <f>80+L93-(80+K93)</f>
        <v>-5</v>
      </c>
      <c r="AN93" s="24">
        <f>IF(AL93="",0,IF(EXACT(RIGHT(AL93,2),"dB"),IF(ABS(VALUE(LEFT(AL93,FIND(" ",AL93,1)))-AM93)&lt;=0.5,1,-1),-1))</f>
        <v>1</v>
      </c>
      <c r="AO93" s="12" t="s">
        <v>949</v>
      </c>
      <c r="AP93" s="30">
        <f>((2^(5+L93))/2+1)/48</f>
        <v>1.3541666666666667</v>
      </c>
      <c r="AQ93" s="24">
        <f>IF(AO93="",0,IF(EXACT(RIGHT(AO93,2),"ms"),IF(ABS(VALUE(LEFT(AO93,FIND(" ",AO93,1)))-AP93)/AP93&lt;=0.02,1,-1),-1))</f>
        <v>1</v>
      </c>
      <c r="AR93" s="39">
        <f>M93+P93+S93+V93+Y93+AB93+AE93+AH93+AK93+AN93+AQ93</f>
        <v>8</v>
      </c>
    </row>
    <row r="94" spans="1:44" ht="13.2">
      <c r="A94" s="41">
        <v>92</v>
      </c>
      <c r="B94" s="42">
        <v>41992.766473784723</v>
      </c>
      <c r="C94" s="12" t="s">
        <v>993</v>
      </c>
      <c r="D94" s="12" t="s">
        <v>994</v>
      </c>
      <c r="E94" s="12">
        <v>243202</v>
      </c>
      <c r="F94" s="23">
        <v>1</v>
      </c>
      <c r="G94" s="23">
        <f>INT(E94/100000)</f>
        <v>2</v>
      </c>
      <c r="H94" s="23">
        <f>INT(($E94-100000*G94)/10000)</f>
        <v>4</v>
      </c>
      <c r="I94" s="23">
        <f>INT(($E94-100000*G94-10000*H94)/1000)</f>
        <v>3</v>
      </c>
      <c r="J94" s="23">
        <f>INT(($E94-100000*$G94-10000*$H94-1000*$I94)/100)</f>
        <v>2</v>
      </c>
      <c r="K94" s="23">
        <f>INT(($E94-100000*$G94-10000*$H94-1000*$I94-100*$J94)/10)</f>
        <v>0</v>
      </c>
      <c r="L94" s="23">
        <f>INT(($E94-100000*$G94-10000*$H94-1000*$I94-100*$J94-10*$K94))</f>
        <v>2</v>
      </c>
      <c r="M94" s="24">
        <v>2</v>
      </c>
      <c r="N94" s="12" t="s">
        <v>995</v>
      </c>
      <c r="O94" s="26">
        <f>65+K94+10*LOG10(70+L94)+10*LOG10(100/(100+J94*20))</f>
        <v>82.112044607530308</v>
      </c>
      <c r="P94" s="24">
        <f>IF(N94="",0,IF(EXACT(RIGHT(N94,5),"dB(A)"),IF(ABS(VALUE(LEFT(N94,FIND(" ",N94,1)))-O94)&lt;=0.5,1,-1),-1))</f>
        <v>1</v>
      </c>
      <c r="Q94" s="12" t="s">
        <v>996</v>
      </c>
      <c r="R94" s="26">
        <f>10*LOG10(10^((80+G94)/10)*(10+L94)*1000/16/3600+10^((85+H94)/10)*(10+K94)*3000/16/3600+10^((90+J94)/10)*(10+J94)*100/16/3600)</f>
        <v>86.810148373041926</v>
      </c>
      <c r="S94" s="24">
        <f>IF(Q94="",0,IF(EXACT(RIGHT(Q94,5),"dB(A)"),IF(ABS(VALUE(LEFT(Q94,FIND(" ",Q94,1)))-R94)&lt;=0.5,1,-1),-1))</f>
        <v>1</v>
      </c>
      <c r="T94" s="12" t="s">
        <v>997</v>
      </c>
      <c r="U94" s="30">
        <f>4*(500+K94*10+L94)/(400+J94*10)/340*SQRT(8192/4/0.1)</f>
        <v>2.0123359098351048</v>
      </c>
      <c r="V94" s="24">
        <f>IF(T94="",0,IF(EXACT(RIGHT(T94,2)," s"),IF(ABS(VALUE(LEFT(T94,FIND(" ",T94,1)))-U94)&lt;=0.005,1,-1),-1))</f>
        <v>1</v>
      </c>
      <c r="W94" s="12">
        <v>1024</v>
      </c>
      <c r="X94" s="36">
        <f>8*2^(5+L94)</f>
        <v>1024</v>
      </c>
      <c r="Y94" s="24">
        <f>IF(W94="",0,IF(ABS(W94-X94)&lt;=1,1,-1))</f>
        <v>1</v>
      </c>
      <c r="Z94" s="12" t="s">
        <v>998</v>
      </c>
      <c r="AA94" s="26">
        <f>10*LOG10(10^((60+L94-39.4)/10)+10^((63+L94-26.2)/10)+10^((66+L94-16.1)/10)+10^((69+L94-8.6)/10)+10^((72+L94-3.2)/10)+10^((75+L94)/10)+10^((78+L94+1.2)/10)+10^((81+L94+1)/10)+10^((84+L94-1.1)/10)+10^((87+L94-6.6)/10))</f>
        <v>89.684202566927453</v>
      </c>
      <c r="AB94" s="24">
        <f>IF(Z94="",0,IF(EXACT(RIGHT(Z94,5),"dB(A)"),IF(ABS(VALUE(LEFT(Z94,FIND(" ",Z94,1)))-AA94)&lt;=0.2,1,-1),-1))</f>
        <v>-1</v>
      </c>
      <c r="AC94" s="12" t="s">
        <v>999</v>
      </c>
      <c r="AD94" s="26">
        <f>10*LOG10((10^((60+L94)/10)*(1+J94)+10^((65+K94)/10)*(2+I94/3))/(1+J94+2+I94/3))</f>
        <v>63.754048667725051</v>
      </c>
      <c r="AE94" s="24">
        <f>IF(AC94="",0,IF(EXACT(RIGHT(AC94,5),"dB(A)"),IF(ABS(VALUE(LEFT(AC94,FIND(" ",AC94,1)))-AD94)&lt;=0.5,1,-1),-1))</f>
        <v>1</v>
      </c>
      <c r="AF94" s="12" t="s">
        <v>1000</v>
      </c>
      <c r="AG94" s="26">
        <f>90+K94+10*LOG10(4/(0.16*(300+J94*20)/(1+L94/10)))+3</f>
        <v>82.456423376774069</v>
      </c>
      <c r="AH94" s="24">
        <f>IF(AF94="",0,IF(EXACT(RIGHT(AF94,2),"dB"),IF(ABS(VALUE(LEFT(AF94,FIND(" ",AF94,1)))-AG94)&lt;=0.5,1,-1),-1))</f>
        <v>1</v>
      </c>
      <c r="AI94" s="12" t="s">
        <v>1001</v>
      </c>
      <c r="AJ94" s="26">
        <f>10*LOG10(3+40*(2*SQRT(((10+K94)/2)^2+(3+L94/10)^2)-(10+K94))*100*(1+J94)/340)</f>
        <v>18.394390778851655</v>
      </c>
      <c r="AK94" s="24">
        <f>IF(AI94="",0,IF(EXACT(RIGHT(AI94,2),"dB"),IF(ABS(VALUE(LEFT(AI94,FIND(" ",AI94,1)))-AJ94)&lt;=0.5,1,-1),-1))</f>
        <v>1</v>
      </c>
      <c r="AL94" s="12" t="s">
        <v>1002</v>
      </c>
      <c r="AM94" s="26">
        <f>80+L94-(80+K94)</f>
        <v>2</v>
      </c>
      <c r="AN94" s="24">
        <f>IF(AL94="",0,IF(EXACT(RIGHT(AL94,2),"dB"),IF(ABS(VALUE(LEFT(AL94,FIND(" ",AL94,1)))-AM94)&lt;=0.5,1,-1),-1))</f>
        <v>1</v>
      </c>
      <c r="AO94" s="12" t="s">
        <v>1003</v>
      </c>
      <c r="AP94" s="30">
        <f>((2^(5+L94))/2+1)/48</f>
        <v>1.3541666666666667</v>
      </c>
      <c r="AQ94" s="24">
        <f>IF(AO94="",0,IF(EXACT(RIGHT(AO94,2),"ms"),IF(ABS(VALUE(LEFT(AO94,FIND(" ",AO94,1)))-AP94)/AP94&lt;=0.02,1,-1),-1))</f>
        <v>-1</v>
      </c>
      <c r="AR94" s="39">
        <f>M94+P94+S94+V94+Y94+AB94+AE94+AH94+AK94+AN94+AQ94</f>
        <v>8</v>
      </c>
    </row>
    <row r="95" spans="1:44" ht="13.2">
      <c r="A95" s="41">
        <v>93</v>
      </c>
      <c r="B95" s="42">
        <v>41992.76815664352</v>
      </c>
      <c r="C95" s="12" t="s">
        <v>1264</v>
      </c>
      <c r="D95" s="12" t="s">
        <v>1265</v>
      </c>
      <c r="E95" s="12">
        <v>243377</v>
      </c>
      <c r="F95" s="23">
        <v>1</v>
      </c>
      <c r="G95" s="23">
        <f>INT(E95/100000)</f>
        <v>2</v>
      </c>
      <c r="H95" s="23">
        <f>INT(($E95-100000*G95)/10000)</f>
        <v>4</v>
      </c>
      <c r="I95" s="23">
        <f>INT(($E95-100000*G95-10000*H95)/1000)</f>
        <v>3</v>
      </c>
      <c r="J95" s="23">
        <f>INT(($E95-100000*$G95-10000*$H95-1000*$I95)/100)</f>
        <v>3</v>
      </c>
      <c r="K95" s="23">
        <f>INT(($E95-100000*$G95-10000*$H95-1000*$I95-100*$J95)/10)</f>
        <v>7</v>
      </c>
      <c r="L95" s="23">
        <f>INT(($E95-100000*$G95-10000*$H95-1000*$I95-100*$J95-10*$K95))</f>
        <v>7</v>
      </c>
      <c r="M95" s="24">
        <v>2</v>
      </c>
      <c r="N95" s="12" t="s">
        <v>1266</v>
      </c>
      <c r="O95" s="26">
        <f>65+K95+10*LOG10(70+L95)+10*LOG10(100/(100+J95*20))</f>
        <v>88.823707425165566</v>
      </c>
      <c r="P95" s="24">
        <f>IF(N95="",0,IF(EXACT(RIGHT(N95,5),"dB(A)"),IF(ABS(VALUE(LEFT(N95,FIND(" ",N95,1)))-O95)&lt;=0.5,1,-1),-1))</f>
        <v>1</v>
      </c>
      <c r="Q95" s="45" t="s">
        <v>1267</v>
      </c>
      <c r="R95" s="26">
        <f>10*LOG10(10^((80+G95)/10)*(10+L95)*1000/16/3600+10^((85+H95)/10)*(10+K95)*3000/16/3600+10^((90+J95)/10)*(10+J95)*100/16/3600)</f>
        <v>89.004325581842139</v>
      </c>
      <c r="S95" s="24">
        <f>IF(Q95="",0,IF(EXACT(RIGHT(Q95,5),"dB(A)"),IF(ABS(VALUE(LEFT(Q95,FIND(" ",Q95,1)))-R95)&lt;=0.5,1,-1),-1))</f>
        <v>1</v>
      </c>
      <c r="T95" s="12" t="s">
        <v>1268</v>
      </c>
      <c r="U95" s="30">
        <f>4*(500+K95*10+L95)/(400+J95*10)/340*SQRT(8192/4/0.1)</f>
        <v>2.2591933864052596</v>
      </c>
      <c r="V95" s="24">
        <f>IF(T95="",0,IF(EXACT(RIGHT(T95,2)," s"),IF(ABS(VALUE(LEFT(T95,FIND(" ",T95,1)))-U95)&lt;=0.005,1,-1),-1))</f>
        <v>1</v>
      </c>
      <c r="W95" s="12">
        <v>32768</v>
      </c>
      <c r="X95" s="36">
        <f>8*2^(5+L95)</f>
        <v>32768</v>
      </c>
      <c r="Y95" s="24">
        <f>IF(W95="",0,IF(ABS(W95-X95)&lt;=1,1,-1))</f>
        <v>1</v>
      </c>
      <c r="Z95" s="43"/>
      <c r="AA95" s="26">
        <f>10*LOG10(10^((60+L95-39.4)/10)+10^((63+L95-26.2)/10)+10^((66+L95-16.1)/10)+10^((69+L95-8.6)/10)+10^((72+L95-3.2)/10)+10^((75+L95)/10)+10^((78+L95+1.2)/10)+10^((81+L95+1)/10)+10^((84+L95-1.1)/10)+10^((87+L95-6.6)/10))</f>
        <v>94.684202566927453</v>
      </c>
      <c r="AB95" s="24">
        <f>IF(Z95="",0,IF(EXACT(RIGHT(Z95,5),"dB(A)"),IF(ABS(VALUE(LEFT(Z95,FIND(" ",Z95,1)))-AA95)&lt;=0.2,1,-1),-1))</f>
        <v>0</v>
      </c>
      <c r="AC95" s="12" t="s">
        <v>1269</v>
      </c>
      <c r="AD95" s="26">
        <f>10*LOG10((10^((60+L95)/10)*(1+J95)+10^((65+K95)/10)*(2+I95/3))/(1+J95+2+I95/3))</f>
        <v>69.848119392671279</v>
      </c>
      <c r="AE95" s="24">
        <f>IF(AC95="",0,IF(EXACT(RIGHT(AC95,5),"dB(A)"),IF(ABS(VALUE(LEFT(AC95,FIND(" ",AC95,1)))-AD95)&lt;=0.5,1,-1),-1))</f>
        <v>1</v>
      </c>
      <c r="AF95" s="12" t="s">
        <v>1270</v>
      </c>
      <c r="AG95" s="26">
        <f>90+K95+10*LOG10(4/(0.16*(300+J95*20)/(1+L95/10)))+3</f>
        <v>90.720864292830242</v>
      </c>
      <c r="AH95" s="24">
        <f>IF(AF95="",0,IF(EXACT(RIGHT(AF95,2),"dB"),IF(ABS(VALUE(LEFT(AF95,FIND(" ",AF95,1)))-AG95)&lt;=0.5,1,-1),-1))</f>
        <v>1</v>
      </c>
      <c r="AI95" s="43"/>
      <c r="AJ95" s="26">
        <f>10*LOG10(3+40*(2*SQRT(((10+K95)/2)^2+(3+L95/10)^2)-(10+K95))*100*(1+J95)/340)</f>
        <v>18.779850895634411</v>
      </c>
      <c r="AK95" s="24">
        <f>IF(AI95="",0,IF(EXACT(RIGHT(AI95,2),"dB"),IF(ABS(VALUE(LEFT(AI95,FIND(" ",AI95,1)))-AJ95)&lt;=0.5,1,-1),-1))</f>
        <v>0</v>
      </c>
      <c r="AL95" s="12" t="s">
        <v>1271</v>
      </c>
      <c r="AM95" s="26">
        <f>80+L95-(80+K95)</f>
        <v>0</v>
      </c>
      <c r="AN95" s="24">
        <f>IF(AL95="",0,IF(EXACT(RIGHT(AL95,2),"dB"),IF(ABS(VALUE(LEFT(AL95,FIND(" ",AL95,1)))-AM95)&lt;=0.5,1,-1),-1))</f>
        <v>1</v>
      </c>
      <c r="AO95" s="12" t="s">
        <v>1272</v>
      </c>
      <c r="AP95" s="30">
        <f>((2^(5+L95))/2+1)/48</f>
        <v>42.6875</v>
      </c>
      <c r="AQ95" s="24">
        <f>IF(AO95="",0,IF(EXACT(RIGHT(AO95,2),"ms"),IF(ABS(VALUE(LEFT(AO95,FIND(" ",AO95,1)))-AP95)/AP95&lt;=0.02,1,-1),-1))</f>
        <v>-1</v>
      </c>
      <c r="AR95" s="39">
        <f>M95+P95+S95+V95+Y95+AB95+AE95+AH95+AK95+AN95+AQ95</f>
        <v>8</v>
      </c>
    </row>
    <row r="96" spans="1:44" ht="13.2">
      <c r="A96" s="41">
        <v>94</v>
      </c>
      <c r="B96" s="42">
        <v>41992.768348645834</v>
      </c>
      <c r="C96" s="12" t="s">
        <v>1316</v>
      </c>
      <c r="D96" s="12" t="s">
        <v>1317</v>
      </c>
      <c r="E96" s="12">
        <v>240837</v>
      </c>
      <c r="F96" s="23">
        <v>1</v>
      </c>
      <c r="G96" s="23">
        <f>INT(E96/100000)</f>
        <v>2</v>
      </c>
      <c r="H96" s="23">
        <f>INT(($E96-100000*G96)/10000)</f>
        <v>4</v>
      </c>
      <c r="I96" s="23">
        <f>INT(($E96-100000*G96-10000*H96)/1000)</f>
        <v>0</v>
      </c>
      <c r="J96" s="23">
        <f>INT(($E96-100000*$G96-10000*$H96-1000*$I96)/100)</f>
        <v>8</v>
      </c>
      <c r="K96" s="23">
        <f>INT(($E96-100000*$G96-10000*$H96-1000*$I96-100*$J96)/10)</f>
        <v>3</v>
      </c>
      <c r="L96" s="23">
        <f>INT(($E96-100000*$G96-10000*$H96-1000*$I96-100*$J96-10*$K96))</f>
        <v>7</v>
      </c>
      <c r="M96" s="24">
        <v>2</v>
      </c>
      <c r="N96" s="12" t="s">
        <v>1318</v>
      </c>
      <c r="O96" s="26">
        <f>65+K96+10*LOG10(70+L96)+10*LOG10(100/(100+J96*20))</f>
        <v>82.715173772016641</v>
      </c>
      <c r="P96" s="24">
        <f>IF(N96="",0,IF(EXACT(RIGHT(N96,5),"dB(A)"),IF(ABS(VALUE(LEFT(N96,FIND(" ",N96,1)))-O96)&lt;=0.5,1,-1),-1))</f>
        <v>1</v>
      </c>
      <c r="Q96" s="12" t="s">
        <v>1319</v>
      </c>
      <c r="R96" s="26">
        <f>10*LOG10(10^((80+G96)/10)*(10+L96)*1000/16/3600+10^((85+H96)/10)*(10+K96)*3000/16/3600+10^((90+J96)/10)*(10+J96)*100/16/3600)</f>
        <v>88.930828563093641</v>
      </c>
      <c r="S96" s="24">
        <f>IF(Q96="",0,IF(EXACT(RIGHT(Q96,5),"dB(A)"),IF(ABS(VALUE(LEFT(Q96,FIND(" ",Q96,1)))-R96)&lt;=0.5,1,-1),-1))</f>
        <v>1</v>
      </c>
      <c r="T96" s="12" t="s">
        <v>1320</v>
      </c>
      <c r="U96" s="30">
        <f>4*(500+K96*10+L96)/(400+J96*10)/340*SQRT(8192/4/0.1)</f>
        <v>1.8835584375174699</v>
      </c>
      <c r="V96" s="24">
        <f>IF(T96="",0,IF(EXACT(RIGHT(T96,2)," s"),IF(ABS(VALUE(LEFT(T96,FIND(" ",T96,1)))-U96)&lt;=0.005,1,-1),-1))</f>
        <v>1</v>
      </c>
      <c r="W96" s="12">
        <v>32768</v>
      </c>
      <c r="X96" s="36">
        <f>8*2^(5+L96)</f>
        <v>32768</v>
      </c>
      <c r="Y96" s="24">
        <f>IF(W96="",0,IF(ABS(W96-X96)&lt;=1,1,-1))</f>
        <v>1</v>
      </c>
      <c r="Z96" s="43"/>
      <c r="AA96" s="26">
        <f>10*LOG10(10^((60+L96-39.4)/10)+10^((63+L96-26.2)/10)+10^((66+L96-16.1)/10)+10^((69+L96-8.6)/10)+10^((72+L96-3.2)/10)+10^((75+L96)/10)+10^((78+L96+1.2)/10)+10^((81+L96+1)/10)+10^((84+L96-1.1)/10)+10^((87+L96-6.6)/10))</f>
        <v>94.684202566927453</v>
      </c>
      <c r="AB96" s="24">
        <f>IF(Z96="",0,IF(EXACT(RIGHT(Z96,5),"dB(A)"),IF(ABS(VALUE(LEFT(Z96,FIND(" ",Z96,1)))-AA96)&lt;=0.2,1,-1),-1))</f>
        <v>0</v>
      </c>
      <c r="AC96" s="12" t="s">
        <v>1321</v>
      </c>
      <c r="AD96" s="26">
        <f>10*LOG10((10^((60+L96)/10)*(1+J96)+10^((65+K96)/10)*(2+I96/3))/(1+J96+2+I96/3))</f>
        <v>67.199787641952426</v>
      </c>
      <c r="AE96" s="24">
        <f>IF(AC96="",0,IF(EXACT(RIGHT(AC96,5),"dB(A)"),IF(ABS(VALUE(LEFT(AC96,FIND(" ",AC96,1)))-AD96)&lt;=0.5,1,-1),-1))</f>
        <v>1</v>
      </c>
      <c r="AF96" s="12" t="s">
        <v>1322</v>
      </c>
      <c r="AG96" s="26">
        <f>90+K96+10*LOG10(4/(0.16*(300+J96*20)/(1+L96/10)))+3</f>
        <v>85.656310983687376</v>
      </c>
      <c r="AH96" s="24">
        <f>IF(AF96="",0,IF(EXACT(RIGHT(AF96,2),"dB"),IF(ABS(VALUE(LEFT(AF96,FIND(" ",AF96,1)))-AG96)&lt;=0.5,1,-1),-1))</f>
        <v>1</v>
      </c>
      <c r="AI96" s="43"/>
      <c r="AJ96" s="26">
        <f>10*LOG10(3+40*(2*SQRT(((10+K96)/2)^2+(3+L96/10)^2)-(10+K96))*100*(1+J96)/340)</f>
        <v>23.230089691993822</v>
      </c>
      <c r="AK96" s="24">
        <f>IF(AI96="",0,IF(EXACT(RIGHT(AI96,2),"dB"),IF(ABS(VALUE(LEFT(AI96,FIND(" ",AI96,1)))-AJ96)&lt;=0.5,1,-1),-1))</f>
        <v>0</v>
      </c>
      <c r="AL96" s="12" t="s">
        <v>1323</v>
      </c>
      <c r="AM96" s="26">
        <f>80+L96-(80+K96)</f>
        <v>4</v>
      </c>
      <c r="AN96" s="24">
        <f>IF(AL96="",0,IF(EXACT(RIGHT(AL96,2),"dB"),IF(ABS(VALUE(LEFT(AL96,FIND(" ",AL96,1)))-AM96)&lt;=0.5,1,-1),-1))</f>
        <v>1</v>
      </c>
      <c r="AO96" s="12" t="s">
        <v>1324</v>
      </c>
      <c r="AP96" s="30">
        <f>((2^(5+L96))/2+1)/48</f>
        <v>42.6875</v>
      </c>
      <c r="AQ96" s="24">
        <f>IF(AO96="",0,IF(EXACT(RIGHT(AO96,2),"ms"),IF(ABS(VALUE(LEFT(AO96,FIND(" ",AO96,1)))-AP96)/AP96&lt;=0.02,1,-1),-1))</f>
        <v>-1</v>
      </c>
      <c r="AR96" s="39">
        <f>M96+P96+S96+V96+Y96+AB96+AE96+AH96+AK96+AN96+AQ96</f>
        <v>8</v>
      </c>
    </row>
    <row r="97" spans="1:44" ht="13.2">
      <c r="A97" s="41">
        <v>95</v>
      </c>
      <c r="B97" s="42">
        <v>41992.772110486112</v>
      </c>
      <c r="C97" s="12" t="s">
        <v>1483</v>
      </c>
      <c r="D97" s="12" t="s">
        <v>1484</v>
      </c>
      <c r="E97" s="12">
        <v>240612</v>
      </c>
      <c r="F97" s="23">
        <v>1</v>
      </c>
      <c r="G97" s="23">
        <f>INT(E97/100000)</f>
        <v>2</v>
      </c>
      <c r="H97" s="23">
        <f>INT(($E97-100000*G97)/10000)</f>
        <v>4</v>
      </c>
      <c r="I97" s="23">
        <f>INT(($E97-100000*G97-10000*H97)/1000)</f>
        <v>0</v>
      </c>
      <c r="J97" s="23">
        <f>INT(($E97-100000*$G97-10000*$H97-1000*$I97)/100)</f>
        <v>6</v>
      </c>
      <c r="K97" s="23">
        <f>INT(($E97-100000*$G97-10000*$H97-1000*$I97-100*$J97)/10)</f>
        <v>1</v>
      </c>
      <c r="L97" s="23">
        <f>INT(($E97-100000*$G97-10000*$H97-1000*$I97-100*$J97-10*$K97))</f>
        <v>2</v>
      </c>
      <c r="M97" s="24">
        <v>2</v>
      </c>
      <c r="N97" s="12" t="s">
        <v>1485</v>
      </c>
      <c r="O97" s="26">
        <f>65+K97+10*LOG10(70+L97)+10*LOG10(100/(100+J97*20))</f>
        <v>81.149098156090631</v>
      </c>
      <c r="P97" s="24">
        <f>IF(N97="",0,IF(EXACT(RIGHT(N97,5),"dB(A)"),IF(ABS(VALUE(LEFT(N97,FIND(" ",N97,1)))-O97)&lt;=0.5,1,-1),-1))</f>
        <v>1</v>
      </c>
      <c r="Q97" s="12" t="s">
        <v>1486</v>
      </c>
      <c r="R97" s="26">
        <f>10*LOG10(10^((80+G97)/10)*(10+L97)*1000/16/3600+10^((85+H97)/10)*(10+K97)*3000/16/3600+10^((90+J97)/10)*(10+J97)*100/16/3600)</f>
        <v>87.772004211441526</v>
      </c>
      <c r="S97" s="24">
        <f>IF(Q97="",0,IF(EXACT(RIGHT(Q97,5),"dB(A)"),IF(ABS(VALUE(LEFT(Q97,FIND(" ",Q97,1)))-R97)&lt;=0.5,1,-1),-1))</f>
        <v>1</v>
      </c>
      <c r="T97" s="12" t="s">
        <v>1487</v>
      </c>
      <c r="U97" s="30">
        <f>4*(500+K97*10+L97)/(400+J97*10)/340*SQRT(8192/4/0.1)</f>
        <v>1.8739507797113328</v>
      </c>
      <c r="V97" s="24">
        <f>IF(T97="",0,IF(EXACT(RIGHT(T97,2)," s"),IF(ABS(VALUE(LEFT(T97,FIND(" ",T97,1)))-U97)&lt;=0.005,1,-1),-1))</f>
        <v>1</v>
      </c>
      <c r="W97" s="12">
        <v>1024</v>
      </c>
      <c r="X97" s="36">
        <f>8*2^(5+L97)</f>
        <v>1024</v>
      </c>
      <c r="Y97" s="24">
        <f>IF(W97="",0,IF(ABS(W97-X97)&lt;=1,1,-1))</f>
        <v>1</v>
      </c>
      <c r="Z97" s="12" t="s">
        <v>1488</v>
      </c>
      <c r="AA97" s="26">
        <f>10*LOG10(10^((60+L97-39.4)/10)+10^((63+L97-26.2)/10)+10^((66+L97-16.1)/10)+10^((69+L97-8.6)/10)+10^((72+L97-3.2)/10)+10^((75+L97)/10)+10^((78+L97+1.2)/10)+10^((81+L97+1)/10)+10^((84+L97-1.1)/10)+10^((87+L97-6.6)/10))</f>
        <v>89.684202566927453</v>
      </c>
      <c r="AB97" s="24">
        <f>IF(Z97="",0,IF(EXACT(RIGHT(Z97,5),"dB(A)"),IF(ABS(VALUE(LEFT(Z97,FIND(" ",Z97,1)))-AA97)&lt;=0.2,1,-1),-1))</f>
        <v>1</v>
      </c>
      <c r="AC97" s="12" t="s">
        <v>1489</v>
      </c>
      <c r="AD97" s="26">
        <f>10*LOG10((10^((60+L97)/10)*(1+J97)+10^((65+K97)/10)*(2+I97/3))/(1+J97+2+I97/3))</f>
        <v>63.257982541084949</v>
      </c>
      <c r="AE97" s="24">
        <f>IF(AC97="",0,IF(EXACT(RIGHT(AC97,5),"dB(A)"),IF(ABS(VALUE(LEFT(AC97,FIND(" ",AC97,1)))-AD97)&lt;=0.5,1,-1),-1))</f>
        <v>1</v>
      </c>
      <c r="AF97" s="12" t="s">
        <v>1490</v>
      </c>
      <c r="AG97" s="26">
        <f>90+K97+10*LOG10(4/(0.16*(300+J97*20)/(1+L97/10)))+3</f>
        <v>82.538719643217618</v>
      </c>
      <c r="AH97" s="24">
        <f>IF(AF97="",0,IF(EXACT(RIGHT(AF97,2),"dB"),IF(ABS(VALUE(LEFT(AF97,FIND(" ",AF97,1)))-AG97)&lt;=0.5,1,-1),-1))</f>
        <v>-1</v>
      </c>
      <c r="AI97" s="12" t="s">
        <v>1491</v>
      </c>
      <c r="AJ97" s="26">
        <f>10*LOG10(3+40*(2*SQRT(((10+K97)/2)^2+(3+L97/10)^2)-(10+K97))*100*(1+J97)/340)</f>
        <v>21.618770285785356</v>
      </c>
      <c r="AK97" s="24">
        <f>IF(AI97="",0,IF(EXACT(RIGHT(AI97,2),"dB"),IF(ABS(VALUE(LEFT(AI97,FIND(" ",AI97,1)))-AJ97)&lt;=0.5,1,-1),-1))</f>
        <v>1</v>
      </c>
      <c r="AL97" s="12" t="s">
        <v>1492</v>
      </c>
      <c r="AM97" s="26">
        <f>80+L97-(80+K97)</f>
        <v>1</v>
      </c>
      <c r="AN97" s="24">
        <f>IF(AL97="",0,IF(EXACT(RIGHT(AL97,2),"dB"),IF(ABS(VALUE(LEFT(AL97,FIND(" ",AL97,1)))-AM97)&lt;=0.5,1,-1),-1))</f>
        <v>1</v>
      </c>
      <c r="AO97" s="12" t="s">
        <v>1493</v>
      </c>
      <c r="AP97" s="30">
        <f>((2^(5+L97))/2+1)/48</f>
        <v>1.3541666666666667</v>
      </c>
      <c r="AQ97" s="24">
        <f>IF(AO97="",0,IF(EXACT(RIGHT(AO97,2),"ms"),IF(ABS(VALUE(LEFT(AO97,FIND(" ",AO97,1)))-AP97)/AP97&lt;=0.02,1,-1),-1))</f>
        <v>-1</v>
      </c>
      <c r="AR97" s="39">
        <f>M97+P97+S97+V97+Y97+AB97+AE97+AH97+AK97+AN97+AQ97</f>
        <v>8</v>
      </c>
    </row>
    <row r="98" spans="1:44" ht="13.2">
      <c r="A98" s="41">
        <v>96</v>
      </c>
      <c r="B98" s="42">
        <v>41992.772573969909</v>
      </c>
      <c r="C98" s="12" t="s">
        <v>1494</v>
      </c>
      <c r="D98" s="12" t="s">
        <v>1495</v>
      </c>
      <c r="E98" s="12">
        <v>239465</v>
      </c>
      <c r="F98" s="23">
        <v>1</v>
      </c>
      <c r="G98" s="23">
        <f>INT(E98/100000)</f>
        <v>2</v>
      </c>
      <c r="H98" s="23">
        <f>INT(($E98-100000*G98)/10000)</f>
        <v>3</v>
      </c>
      <c r="I98" s="23">
        <f>INT(($E98-100000*G98-10000*H98)/1000)</f>
        <v>9</v>
      </c>
      <c r="J98" s="23">
        <f>INT(($E98-100000*$G98-10000*$H98-1000*$I98)/100)</f>
        <v>4</v>
      </c>
      <c r="K98" s="23">
        <f>INT(($E98-100000*$G98-10000*$H98-1000*$I98-100*$J98)/10)</f>
        <v>6</v>
      </c>
      <c r="L98" s="23">
        <f>INT(($E98-100000*$G98-10000*$H98-1000*$I98-100*$J98-10*$K98))</f>
        <v>5</v>
      </c>
      <c r="M98" s="24">
        <v>2</v>
      </c>
      <c r="N98" s="12" t="s">
        <v>1496</v>
      </c>
      <c r="O98" s="26">
        <f>65+K98+10*LOG10(70+L98)+10*LOG10(100/(100+J98*20))</f>
        <v>87.197887582883936</v>
      </c>
      <c r="P98" s="24">
        <f>IF(N98="",0,IF(EXACT(RIGHT(N98,5),"dB(A)"),IF(ABS(VALUE(LEFT(N98,FIND(" ",N98,1)))-O98)&lt;=0.5,1,-1),-1))</f>
        <v>1</v>
      </c>
      <c r="Q98" s="12" t="s">
        <v>1497</v>
      </c>
      <c r="R98" s="26">
        <f>10*LOG10(10^((80+G98)/10)*(10+L98)*1000/16/3600+10^((85+H98)/10)*(10+K98)*3000/16/3600+10^((90+J98)/10)*(10+J98)*100/16/3600)</f>
        <v>87.980452787862774</v>
      </c>
      <c r="S98" s="24">
        <f>IF(Q98="",0,IF(EXACT(RIGHT(Q98,5),"dB(A)"),IF(ABS(VALUE(LEFT(Q98,FIND(" ",Q98,1)))-R98)&lt;=0.5,1,-1),-1))</f>
        <v>1</v>
      </c>
      <c r="T98" s="12" t="s">
        <v>1498</v>
      </c>
      <c r="U98" s="30">
        <f>4*(500+K98*10+L98)/(400+J98*10)/340*SQRT(8192/4/0.1)</f>
        <v>2.161930964342043</v>
      </c>
      <c r="V98" s="24">
        <f>IF(T98="",0,IF(EXACT(RIGHT(T98,2)," s"),IF(ABS(VALUE(LEFT(T98,FIND(" ",T98,1)))-U98)&lt;=0.005,1,-1),-1))</f>
        <v>1</v>
      </c>
      <c r="W98" s="12">
        <v>8192</v>
      </c>
      <c r="X98" s="36">
        <f>8*2^(5+L98)</f>
        <v>8192</v>
      </c>
      <c r="Y98" s="24">
        <f>IF(W98="",0,IF(ABS(W98-X98)&lt;=1,1,-1))</f>
        <v>1</v>
      </c>
      <c r="Z98" s="12" t="s">
        <v>1499</v>
      </c>
      <c r="AA98" s="26">
        <f>10*LOG10(10^((60+L98-39.4)/10)+10^((63+L98-26.2)/10)+10^((66+L98-16.1)/10)+10^((69+L98-8.6)/10)+10^((72+L98-3.2)/10)+10^((75+L98)/10)+10^((78+L98+1.2)/10)+10^((81+L98+1)/10)+10^((84+L98-1.1)/10)+10^((87+L98-6.6)/10))</f>
        <v>92.684202566927439</v>
      </c>
      <c r="AB98" s="24">
        <f>IF(Z98="",0,IF(EXACT(RIGHT(Z98,5),"dB(A)"),IF(ABS(VALUE(LEFT(Z98,FIND(" ",Z98,1)))-AA98)&lt;=0.2,1,-1),-1))</f>
        <v>1</v>
      </c>
      <c r="AC98" s="12" t="s">
        <v>1500</v>
      </c>
      <c r="AD98" s="26">
        <f>10*LOG10((10^((60+L98)/10)*(1+J98)+10^((65+K98)/10)*(2+I98/3))/(1+J98+2+I98/3))</f>
        <v>68.962927980447148</v>
      </c>
      <c r="AE98" s="24">
        <f>IF(AC98="",0,IF(EXACT(RIGHT(AC98,5),"dB(A)"),IF(ABS(VALUE(LEFT(AC98,FIND(" ",AC98,1)))-AD98)&lt;=0.5,1,-1),-1))</f>
        <v>1</v>
      </c>
      <c r="AF98" s="12" t="s">
        <v>1501</v>
      </c>
      <c r="AG98" s="26">
        <f>90+K98+10*LOG10(4/(0.16*(300+J98*20)/(1+L98/10)))+3</f>
        <v>88.942476711109094</v>
      </c>
      <c r="AH98" s="24">
        <f>IF(AF98="",0,IF(EXACT(RIGHT(AF98,2),"dB"),IF(ABS(VALUE(LEFT(AF98,FIND(" ",AF98,1)))-AG98)&lt;=0.5,1,-1),-1))</f>
        <v>-1</v>
      </c>
      <c r="AI98" s="12" t="s">
        <v>1502</v>
      </c>
      <c r="AJ98" s="26">
        <f>10*LOG10(3+40*(2*SQRT(((10+K98)/2)^2+(3+L98/10)^2)-(10+K98))*100*(1+J98)/340)</f>
        <v>19.500351410288921</v>
      </c>
      <c r="AK98" s="24">
        <f>IF(AI98="",0,IF(EXACT(RIGHT(AI98,2),"dB"),IF(ABS(VALUE(LEFT(AI98,FIND(" ",AI98,1)))-AJ98)&lt;=0.5,1,-1),-1))</f>
        <v>1</v>
      </c>
      <c r="AL98" s="12" t="s">
        <v>1503</v>
      </c>
      <c r="AM98" s="26">
        <f>80+L98-(80+K98)</f>
        <v>-1</v>
      </c>
      <c r="AN98" s="24">
        <f>IF(AL98="",0,IF(EXACT(RIGHT(AL98,2),"dB"),IF(ABS(VALUE(LEFT(AL98,FIND(" ",AL98,1)))-AM98)&lt;=0.5,1,-1),-1))</f>
        <v>1</v>
      </c>
      <c r="AO98" s="12" t="s">
        <v>1504</v>
      </c>
      <c r="AP98" s="30">
        <f>((2^(5+L98))/2+1)/48</f>
        <v>10.6875</v>
      </c>
      <c r="AQ98" s="24">
        <f>IF(AO98="",0,IF(EXACT(RIGHT(AO98,2),"ms"),IF(ABS(VALUE(LEFT(AO98,FIND(" ",AO98,1)))-AP98)/AP98&lt;=0.02,1,-1),-1))</f>
        <v>-1</v>
      </c>
      <c r="AR98" s="39">
        <f>M98+P98+S98+V98+Y98+AB98+AE98+AH98+AK98+AN98+AQ98</f>
        <v>8</v>
      </c>
    </row>
    <row r="99" spans="1:44" ht="13.2">
      <c r="A99" s="41">
        <v>97</v>
      </c>
      <c r="B99" s="42">
        <v>41992.763705949073</v>
      </c>
      <c r="C99" s="12" t="s">
        <v>527</v>
      </c>
      <c r="D99" s="12" t="s">
        <v>528</v>
      </c>
      <c r="E99" s="12">
        <v>240230</v>
      </c>
      <c r="F99" s="23">
        <v>1</v>
      </c>
      <c r="G99" s="23">
        <f>INT(E99/100000)</f>
        <v>2</v>
      </c>
      <c r="H99" s="23">
        <f>INT(($E99-100000*G99)/10000)</f>
        <v>4</v>
      </c>
      <c r="I99" s="23">
        <f>INT(($E99-100000*G99-10000*H99)/1000)</f>
        <v>0</v>
      </c>
      <c r="J99" s="23">
        <f>INT(($E99-100000*$G99-10000*$H99-1000*$I99)/100)</f>
        <v>2</v>
      </c>
      <c r="K99" s="23">
        <f>INT(($E99-100000*$G99-10000*$H99-1000*$I99-100*$J99)/10)</f>
        <v>3</v>
      </c>
      <c r="L99" s="23">
        <f>INT(($E99-100000*$G99-10000*$H99-1000*$I99-100*$J99-10*$K99))</f>
        <v>0</v>
      </c>
      <c r="M99" s="24">
        <v>2</v>
      </c>
      <c r="N99" s="45" t="s">
        <v>529</v>
      </c>
      <c r="O99" s="26">
        <f>65+K99+10*LOG10(70+L99)+10*LOG10(100/(100+J99*20))</f>
        <v>84.989700043360187</v>
      </c>
      <c r="P99" s="24">
        <f>IF(N99="",0,IF(EXACT(RIGHT(N99,5),"dB(A)"),IF(ABS(VALUE(LEFT(N99,FIND(" ",N99,1)))-O99)&lt;=0.5,1,-1),-1))</f>
        <v>1</v>
      </c>
      <c r="Q99" s="12" t="s">
        <v>530</v>
      </c>
      <c r="R99" s="26">
        <f>10*LOG10(10^((80+G99)/10)*(10+L99)*1000/16/3600+10^((85+H99)/10)*(10+K99)*3000/16/3600+10^((90+J99)/10)*(10+J99)*100/16/3600)</f>
        <v>87.76962933769812</v>
      </c>
      <c r="S99" s="24">
        <f>IF(Q99="",0,IF(EXACT(RIGHT(Q99,5),"dB(A)"),IF(ABS(VALUE(LEFT(Q99,FIND(" ",Q99,1)))-R99)&lt;=0.5,1,-1),-1))</f>
        <v>1</v>
      </c>
      <c r="T99" s="12" t="s">
        <v>531</v>
      </c>
      <c r="U99" s="30">
        <f>4*(500+K99*10+L99)/(400+J99*10)/340*SQRT(8192/4/0.1)</f>
        <v>2.1245777534115651</v>
      </c>
      <c r="V99" s="24">
        <f>IF(T99="",0,IF(EXACT(RIGHT(T99,2)," s"),IF(ABS(VALUE(LEFT(T99,FIND(" ",T99,1)))-U99)&lt;=0.005,1,-1),-1))</f>
        <v>1</v>
      </c>
      <c r="W99" s="12">
        <v>256</v>
      </c>
      <c r="X99" s="36">
        <f>8*2^(5+L99)</f>
        <v>256</v>
      </c>
      <c r="Y99" s="24">
        <f>IF(W99="",0,IF(ABS(W99-X99)&lt;=1,1,-1))</f>
        <v>1</v>
      </c>
      <c r="Z99" s="12" t="s">
        <v>532</v>
      </c>
      <c r="AA99" s="26">
        <f>10*LOG10(10^((60+L99-39.4)/10)+10^((63+L99-26.2)/10)+10^((66+L99-16.1)/10)+10^((69+L99-8.6)/10)+10^((72+L99-3.2)/10)+10^((75+L99)/10)+10^((78+L99+1.2)/10)+10^((81+L99+1)/10)+10^((84+L99-1.1)/10)+10^((87+L99-6.6)/10))</f>
        <v>87.684202566927468</v>
      </c>
      <c r="AB99" s="24">
        <f>IF(Z99="",0,IF(EXACT(RIGHT(Z99,5),"dB(A)"),IF(ABS(VALUE(LEFT(Z99,FIND(" ",Z99,1)))-AA99)&lt;=0.2,1,-1),-1))</f>
        <v>1</v>
      </c>
      <c r="AC99" s="12" t="s">
        <v>533</v>
      </c>
      <c r="AD99" s="26">
        <f>10*LOG10((10^((60+L99)/10)*(1+J99)+10^((65+K99)/10)*(2+I99/3))/(1+J99+2+I99/3))</f>
        <v>64.946873048944042</v>
      </c>
      <c r="AE99" s="24">
        <f>IF(AC99="",0,IF(EXACT(RIGHT(AC99,5),"dB(A)"),IF(ABS(VALUE(LEFT(AC99,FIND(" ",AC99,1)))-AD99)&lt;=0.5,1,-1),-1))</f>
        <v>1</v>
      </c>
      <c r="AF99" s="12" t="s">
        <v>534</v>
      </c>
      <c r="AG99" s="26">
        <f>90+K99+10*LOG10(4/(0.16*(300+J99*20)/(1+L99/10)))+3</f>
        <v>84.664610916297818</v>
      </c>
      <c r="AH99" s="24">
        <f>IF(AF99="",0,IF(EXACT(RIGHT(AF99,2),"dB"),IF(ABS(VALUE(LEFT(AF99,FIND(" ",AF99,1)))-AG99)&lt;=0.5,1,-1),-1))</f>
        <v>1</v>
      </c>
      <c r="AI99" s="12" t="s">
        <v>535</v>
      </c>
      <c r="AJ99" s="26">
        <f>10*LOG10(3+40*(2*SQRT(((10+K99)/2)^2+(3+L99/10)^2)-(10+K99))*100*(1+J99)/340)</f>
        <v>16.947046071700779</v>
      </c>
      <c r="AK99" s="24">
        <f>IF(AI99="",0,IF(EXACT(RIGHT(AI99,2),"dB"),IF(ABS(VALUE(LEFT(AI99,FIND(" ",AI99,1)))-AJ99)&lt;=0.5,1,-1),-1))</f>
        <v>-1</v>
      </c>
      <c r="AL99" s="12" t="s">
        <v>536</v>
      </c>
      <c r="AM99" s="26">
        <f>80+L99-(80+K99)</f>
        <v>-3</v>
      </c>
      <c r="AN99" s="24">
        <f>IF(AL99="",0,IF(EXACT(RIGHT(AL99,2),"dB"),IF(ABS(VALUE(LEFT(AL99,FIND(" ",AL99,1)))-AM99)&lt;=0.5,1,-1),-1))</f>
        <v>1</v>
      </c>
      <c r="AO99" s="12" t="s">
        <v>537</v>
      </c>
      <c r="AP99" s="30">
        <f>((2^(5+L99))/2+1)/48</f>
        <v>0.35416666666666669</v>
      </c>
      <c r="AQ99" s="24">
        <f>IF(AO99="",0,IF(EXACT(RIGHT(AO99,2),"ms"),IF(ABS(VALUE(LEFT(AO99,FIND(" ",AO99,1)))-AP99)/AP99&lt;=0.02,1,-1),-1))</f>
        <v>-1</v>
      </c>
      <c r="AR99" s="39">
        <f>M99+P99+S99+V99+Y99+AB99+AE99+AH99+AK99+AN99+AQ99</f>
        <v>8</v>
      </c>
    </row>
    <row r="100" spans="1:44" ht="13.2">
      <c r="A100" s="41">
        <v>98</v>
      </c>
      <c r="B100" s="42">
        <v>41992.76823569445</v>
      </c>
      <c r="C100" s="12" t="s">
        <v>1295</v>
      </c>
      <c r="D100" s="12" t="s">
        <v>1296</v>
      </c>
      <c r="E100" s="12">
        <v>239471</v>
      </c>
      <c r="F100" s="23">
        <v>1</v>
      </c>
      <c r="G100" s="23">
        <f>INT(E100/100000)</f>
        <v>2</v>
      </c>
      <c r="H100" s="23">
        <f>INT(($E100-100000*G100)/10000)</f>
        <v>3</v>
      </c>
      <c r="I100" s="23">
        <f>INT(($E100-100000*G100-10000*H100)/1000)</f>
        <v>9</v>
      </c>
      <c r="J100" s="23">
        <f>INT(($E100-100000*$G100-10000*$H100-1000*$I100)/100)</f>
        <v>4</v>
      </c>
      <c r="K100" s="23">
        <f>INT(($E100-100000*$G100-10000*$H100-1000*$I100-100*$J100)/10)</f>
        <v>7</v>
      </c>
      <c r="L100" s="23">
        <f>INT(($E100-100000*$G100-10000*$H100-1000*$I100-100*$J100-10*$K100))</f>
        <v>1</v>
      </c>
      <c r="M100" s="24">
        <v>2</v>
      </c>
      <c r="N100" s="45" t="s">
        <v>1297</v>
      </c>
      <c r="O100" s="26">
        <f>65+K100+10*LOG10(70+L100)+10*LOG10(100/(100+J100*20))</f>
        <v>87.959858436157688</v>
      </c>
      <c r="P100" s="24">
        <f>IF(N100="",0,IF(EXACT(RIGHT(N100,5),"dB(A)"),IF(ABS(VALUE(LEFT(N100,FIND(" ",N100,1)))-O100)&lt;=0.5,1,-1),-1))</f>
        <v>1</v>
      </c>
      <c r="Q100" s="12" t="s">
        <v>1298</v>
      </c>
      <c r="R100" s="26">
        <f>10*LOG10(10^((80+G100)/10)*(10+L100)*1000/16/3600+10^((85+H100)/10)*(10+K100)*3000/16/3600+10^((90+J100)/10)*(10+J100)*100/16/3600)</f>
        <v>88.128999945081446</v>
      </c>
      <c r="S100" s="24">
        <f>IF(Q100="",0,IF(EXACT(RIGHT(Q100,5),"dB(A)"),IF(ABS(VALUE(LEFT(Q100,FIND(" ",Q100,1)))-R100)&lt;=0.5,1,-1),-1))</f>
        <v>1</v>
      </c>
      <c r="T100" s="12" t="s">
        <v>1299</v>
      </c>
      <c r="U100" s="30">
        <f>4*(500+K100*10+L100)/(400+J100*10)/340*SQRT(8192/4/0.1)</f>
        <v>2.1848895232554093</v>
      </c>
      <c r="V100" s="24">
        <f>IF(T100="",0,IF(EXACT(RIGHT(T100,2)," s"),IF(ABS(VALUE(LEFT(T100,FIND(" ",T100,1)))-U100)&lt;=0.005,1,-1),-1))</f>
        <v>1</v>
      </c>
      <c r="W100" s="12">
        <v>512</v>
      </c>
      <c r="X100" s="36">
        <f>8*2^(5+L100)</f>
        <v>512</v>
      </c>
      <c r="Y100" s="24">
        <f>IF(W100="",0,IF(ABS(W100-X100)&lt;=1,1,-1))</f>
        <v>1</v>
      </c>
      <c r="Z100" s="12" t="s">
        <v>1300</v>
      </c>
      <c r="AA100" s="26">
        <f>10*LOG10(10^((60+L100-39.4)/10)+10^((63+L100-26.2)/10)+10^((66+L100-16.1)/10)+10^((69+L100-8.6)/10)+10^((72+L100-3.2)/10)+10^((75+L100)/10)+10^((78+L100+1.2)/10)+10^((81+L100+1)/10)+10^((84+L100-1.1)/10)+10^((87+L100-6.6)/10))</f>
        <v>88.684202566927453</v>
      </c>
      <c r="AB100" s="24">
        <f>IF(Z100="",0,IF(EXACT(RIGHT(Z100,5),"dB(A)"),IF(ABS(VALUE(LEFT(Z100,FIND(" ",Z100,1)))-AA100)&lt;=0.2,1,-1),-1))</f>
        <v>1</v>
      </c>
      <c r="AC100" s="12" t="s">
        <v>1301</v>
      </c>
      <c r="AD100" s="26">
        <f>10*LOG10((10^((60+L100)/10)*(1+J100)+10^((65+K100)/10)*(2+I100/3))/(1+J100+2+I100/3))</f>
        <v>69.321656243244476</v>
      </c>
      <c r="AE100" s="24">
        <f>IF(AC100="",0,IF(EXACT(RIGHT(AC100,5),"dB(A)"),IF(ABS(VALUE(LEFT(AC100,FIND(" ",AC100,1)))-AD100)&lt;=0.5,1,-1),-1))</f>
        <v>1</v>
      </c>
      <c r="AF100" s="12" t="s">
        <v>1302</v>
      </c>
      <c r="AG100" s="26">
        <f>90+K100+10*LOG10(4/(0.16*(300+J100*20)/(1+L100/10)))+3</f>
        <v>88.595490972134527</v>
      </c>
      <c r="AH100" s="24">
        <f>IF(AF100="",0,IF(EXACT(RIGHT(AF100,2),"dB"),IF(ABS(VALUE(LEFT(AF100,FIND(" ",AF100,1)))-AG100)&lt;=0.5,1,-1),-1))</f>
        <v>-1</v>
      </c>
      <c r="AI100" s="12" t="s">
        <v>1303</v>
      </c>
      <c r="AJ100" s="26">
        <f>10*LOG10(3+40*(2*SQRT(((10+K100)/2)^2+(3+L100/10)^2)-(10+K100))*100*(1+J100)/340)</f>
        <v>18.288506053851904</v>
      </c>
      <c r="AK100" s="24">
        <f>IF(AI100="",0,IF(EXACT(RIGHT(AI100,2),"dB"),IF(ABS(VALUE(LEFT(AI100,FIND(" ",AI100,1)))-AJ100)&lt;=0.5,1,-1),-1))</f>
        <v>1</v>
      </c>
      <c r="AL100" s="12" t="s">
        <v>1304</v>
      </c>
      <c r="AM100" s="26">
        <f>80+L100-(80+K100)</f>
        <v>-6</v>
      </c>
      <c r="AN100" s="24">
        <f>IF(AL100="",0,IF(EXACT(RIGHT(AL100,2),"dB"),IF(ABS(VALUE(LEFT(AL100,FIND(" ",AL100,1)))-AM100)&lt;=0.5,1,-1),-1))</f>
        <v>1</v>
      </c>
      <c r="AO100" s="45" t="s">
        <v>1305</v>
      </c>
      <c r="AP100" s="30">
        <f>((2^(5+L100))/2+1)/48</f>
        <v>0.6875</v>
      </c>
      <c r="AQ100" s="24">
        <f>IF(AO100="",0,IF(EXACT(RIGHT(AO100,2),"ms"),IF(ABS(VALUE(LEFT(AO100,FIND(" ",AO100,1)))-AP100)/AP100&lt;=0.02,1,-1),-1))</f>
        <v>-1</v>
      </c>
      <c r="AR100" s="39">
        <f>M100+P100+S100+V100+Y100+AB100+AE100+AH100+AK100+AN100+AQ100</f>
        <v>8</v>
      </c>
    </row>
    <row r="101" spans="1:44" ht="13.2">
      <c r="A101" s="41">
        <v>99</v>
      </c>
      <c r="B101" s="42">
        <v>41992.77120891204</v>
      </c>
      <c r="C101" s="12" t="s">
        <v>1431</v>
      </c>
      <c r="D101" s="12" t="s">
        <v>1432</v>
      </c>
      <c r="E101" s="12">
        <v>242327</v>
      </c>
      <c r="F101" s="23">
        <v>1</v>
      </c>
      <c r="G101" s="23">
        <f>INT(E101/100000)</f>
        <v>2</v>
      </c>
      <c r="H101" s="23">
        <f>INT(($E101-100000*G101)/10000)</f>
        <v>4</v>
      </c>
      <c r="I101" s="23">
        <f>INT(($E101-100000*G101-10000*H101)/1000)</f>
        <v>2</v>
      </c>
      <c r="J101" s="23">
        <f>INT(($E101-100000*$G101-10000*$H101-1000*$I101)/100)</f>
        <v>3</v>
      </c>
      <c r="K101" s="23">
        <f>INT(($E101-100000*$G101-10000*$H101-1000*$I101-100*$J101)/10)</f>
        <v>2</v>
      </c>
      <c r="L101" s="23">
        <f>INT(($E101-100000*$G101-10000*$H101-1000*$I101-100*$J101-10*$K101))</f>
        <v>7</v>
      </c>
      <c r="M101" s="24">
        <v>2</v>
      </c>
      <c r="N101" s="12" t="s">
        <v>1433</v>
      </c>
      <c r="O101" s="26">
        <f>65+K101+10*LOG10(70+L101)+10*LOG10(100/(100+J101*20))</f>
        <v>83.823707425165566</v>
      </c>
      <c r="P101" s="24">
        <f>IF(N101="",0,IF(EXACT(RIGHT(N101,5),"dB(A)"),IF(ABS(VALUE(LEFT(N101,FIND(" ",N101,1)))-O101)&lt;=0.5,1,-1),-1))</f>
        <v>1</v>
      </c>
      <c r="Q101" s="12" t="s">
        <v>1434</v>
      </c>
      <c r="R101" s="26">
        <f>10*LOG10(10^((80+G101)/10)*(10+L101)*1000/16/3600+10^((85+H101)/10)*(10+K101)*3000/16/3600+10^((90+J101)/10)*(10+J101)*100/16/3600)</f>
        <v>87.695718805835639</v>
      </c>
      <c r="S101" s="24">
        <f>IF(Q101="",0,IF(EXACT(RIGHT(Q101,5),"dB(A)"),IF(ABS(VALUE(LEFT(Q101,FIND(" ",Q101,1)))-R101)&lt;=0.5,1,-1),-1))</f>
        <v>1</v>
      </c>
      <c r="T101" s="12" t="s">
        <v>1435</v>
      </c>
      <c r="U101" s="30">
        <f>4*(500+K101*10+L101)/(400+J101*10)/340*SQRT(8192/4/0.1)</f>
        <v>2.0634227290044573</v>
      </c>
      <c r="V101" s="24">
        <f>IF(T101="",0,IF(EXACT(RIGHT(T101,2)," s"),IF(ABS(VALUE(LEFT(T101,FIND(" ",T101,1)))-U101)&lt;=0.005,1,-1),-1))</f>
        <v>1</v>
      </c>
      <c r="W101" s="12">
        <v>32768</v>
      </c>
      <c r="X101" s="36">
        <f>8*2^(5+L101)</f>
        <v>32768</v>
      </c>
      <c r="Y101" s="24">
        <f>IF(W101="",0,IF(ABS(W101-X101)&lt;=1,1,-1))</f>
        <v>1</v>
      </c>
      <c r="Z101" s="12" t="s">
        <v>1436</v>
      </c>
      <c r="AA101" s="26">
        <f>10*LOG10(10^((60+L101-39.4)/10)+10^((63+L101-26.2)/10)+10^((66+L101-16.1)/10)+10^((69+L101-8.6)/10)+10^((72+L101-3.2)/10)+10^((75+L101)/10)+10^((78+L101+1.2)/10)+10^((81+L101+1)/10)+10^((84+L101-1.1)/10)+10^((87+L101-6.6)/10))</f>
        <v>94.684202566927453</v>
      </c>
      <c r="AB101" s="24">
        <f>IF(Z101="",0,IF(EXACT(RIGHT(Z101,5),"dB(A)"),IF(ABS(VALUE(LEFT(Z101,FIND(" ",Z101,1)))-AA101)&lt;=0.2,1,-1),-1))</f>
        <v>1</v>
      </c>
      <c r="AC101" s="45" t="s">
        <v>1437</v>
      </c>
      <c r="AD101" s="26">
        <f>10*LOG10((10^((60+L101)/10)*(1+J101)+10^((65+K101)/10)*(2+I101/3))/(1+J101+2+I101/3))</f>
        <v>67.000000000000014</v>
      </c>
      <c r="AE101" s="24">
        <f>IF(AC101="",0,IF(EXACT(RIGHT(AC101,5),"dB(A)"),IF(ABS(VALUE(LEFT(AC101,FIND(" ",AC101,1)))-AD101)&lt;=0.5,1,-1),-1))</f>
        <v>1</v>
      </c>
      <c r="AF101" s="12" t="s">
        <v>1438</v>
      </c>
      <c r="AG101" s="26">
        <f>90+K101+10*LOG10(4/(0.16*(300+J101*20)/(1+L101/10)))+3</f>
        <v>85.720864292830242</v>
      </c>
      <c r="AH101" s="24">
        <f>IF(AF101="",0,IF(EXACT(RIGHT(AF101,2),"dB"),IF(ABS(VALUE(LEFT(AF101,FIND(" ",AF101,1)))-AG101)&lt;=0.5,1,-1),-1))</f>
        <v>-1</v>
      </c>
      <c r="AI101" s="12" t="s">
        <v>1439</v>
      </c>
      <c r="AJ101" s="26">
        <f>10*LOG10(3+40*(2*SQRT(((10+K101)/2)^2+(3+L101/10)^2)-(10+K101))*100*(1+J101)/340)</f>
        <v>20.074921026831149</v>
      </c>
      <c r="AK101" s="24">
        <f>IF(AI101="",0,IF(EXACT(RIGHT(AI101,2),"dB"),IF(ABS(VALUE(LEFT(AI101,FIND(" ",AI101,1)))-AJ101)&lt;=0.5,1,-1),-1))</f>
        <v>1</v>
      </c>
      <c r="AL101" s="12" t="s">
        <v>1440</v>
      </c>
      <c r="AM101" s="26">
        <f>80+L101-(80+K101)</f>
        <v>5</v>
      </c>
      <c r="AN101" s="24">
        <f>IF(AL101="",0,IF(EXACT(RIGHT(AL101,2),"dB"),IF(ABS(VALUE(LEFT(AL101,FIND(" ",AL101,1)))-AM101)&lt;=0.5,1,-1),-1))</f>
        <v>1</v>
      </c>
      <c r="AO101" s="12" t="s">
        <v>1441</v>
      </c>
      <c r="AP101" s="30">
        <f>((2^(5+L101))/2+1)/48</f>
        <v>42.6875</v>
      </c>
      <c r="AQ101" s="24">
        <f>IF(AO101="",0,IF(EXACT(RIGHT(AO101,2),"ms"),IF(ABS(VALUE(LEFT(AO101,FIND(" ",AO101,1)))-AP101)/AP101&lt;=0.02,1,-1),-1))</f>
        <v>-1</v>
      </c>
      <c r="AR101" s="39">
        <f>M101+P101+S101+V101+Y101+AB101+AE101+AH101+AK101+AN101+AQ101</f>
        <v>8</v>
      </c>
    </row>
    <row r="102" spans="1:44" ht="13.2">
      <c r="A102" s="41">
        <v>100</v>
      </c>
      <c r="B102" s="42">
        <v>41992.77135815972</v>
      </c>
      <c r="C102" s="12" t="s">
        <v>1442</v>
      </c>
      <c r="D102" s="12" t="s">
        <v>1443</v>
      </c>
      <c r="E102" s="12">
        <v>239767</v>
      </c>
      <c r="F102" s="23">
        <v>1</v>
      </c>
      <c r="G102" s="23">
        <f>INT(E102/100000)</f>
        <v>2</v>
      </c>
      <c r="H102" s="23">
        <f>INT(($E102-100000*G102)/10000)</f>
        <v>3</v>
      </c>
      <c r="I102" s="23">
        <f>INT(($E102-100000*G102-10000*H102)/1000)</f>
        <v>9</v>
      </c>
      <c r="J102" s="23">
        <f>INT(($E102-100000*$G102-10000*$H102-1000*$I102)/100)</f>
        <v>7</v>
      </c>
      <c r="K102" s="23">
        <f>INT(($E102-100000*$G102-10000*$H102-1000*$I102-100*$J102)/10)</f>
        <v>6</v>
      </c>
      <c r="L102" s="23">
        <f>INT(($E102-100000*$G102-10000*$H102-1000*$I102-100*$J102-10*$K102))</f>
        <v>7</v>
      </c>
      <c r="M102" s="24">
        <v>2</v>
      </c>
      <c r="N102" s="12" t="s">
        <v>1444</v>
      </c>
      <c r="O102" s="26">
        <f>65+K102+10*LOG10(70+L102)+10*LOG10(100/(100+J102*20))</f>
        <v>86.062794834608752</v>
      </c>
      <c r="P102" s="24">
        <f>IF(N102="",0,IF(EXACT(RIGHT(N102,5),"dB(A)"),IF(ABS(VALUE(LEFT(N102,FIND(" ",N102,1)))-O102)&lt;=0.5,1,-1),-1))</f>
        <v>1</v>
      </c>
      <c r="Q102" s="12" t="s">
        <v>1445</v>
      </c>
      <c r="R102" s="26">
        <f>10*LOG10(10^((80+G102)/10)*(10+L102)*1000/16/3600+10^((85+H102)/10)*(10+K102)*3000/16/3600+10^((90+J102)/10)*(10+J102)*100/16/3600)</f>
        <v>88.5763036364812</v>
      </c>
      <c r="S102" s="24">
        <f>IF(Q102="",0,IF(EXACT(RIGHT(Q102,5),"dB(A)"),IF(ABS(VALUE(LEFT(Q102,FIND(" ",Q102,1)))-R102)&lt;=0.5,1,-1),-1))</f>
        <v>1</v>
      </c>
      <c r="T102" s="12" t="s">
        <v>1446</v>
      </c>
      <c r="U102" s="30">
        <f>4*(500+K102*10+L102)/(400+J102*10)/340*SQRT(8192/4/0.1)</f>
        <v>2.0310997438676437</v>
      </c>
      <c r="V102" s="24">
        <f>IF(T102="",0,IF(EXACT(RIGHT(T102,2)," s"),IF(ABS(VALUE(LEFT(T102,FIND(" ",T102,1)))-U102)&lt;=0.005,1,-1),-1))</f>
        <v>1</v>
      </c>
      <c r="W102" s="12">
        <v>32768</v>
      </c>
      <c r="X102" s="36">
        <f>8*2^(5+L102)</f>
        <v>32768</v>
      </c>
      <c r="Y102" s="24">
        <f>IF(W102="",0,IF(ABS(W102-X102)&lt;=1,1,-1))</f>
        <v>1</v>
      </c>
      <c r="Z102" s="12" t="s">
        <v>1447</v>
      </c>
      <c r="AA102" s="26">
        <f>10*LOG10(10^((60+L102-39.4)/10)+10^((63+L102-26.2)/10)+10^((66+L102-16.1)/10)+10^((69+L102-8.6)/10)+10^((72+L102-3.2)/10)+10^((75+L102)/10)+10^((78+L102+1.2)/10)+10^((81+L102+1)/10)+10^((84+L102-1.1)/10)+10^((87+L102-6.6)/10))</f>
        <v>94.684202566927453</v>
      </c>
      <c r="AB102" s="24">
        <f>IF(Z102="",0,IF(EXACT(RIGHT(Z102,5),"dB(A)"),IF(ABS(VALUE(LEFT(Z102,FIND(" ",Z102,1)))-AA102)&lt;=0.2,1,-1),-1))</f>
        <v>1</v>
      </c>
      <c r="AC102" s="45" t="s">
        <v>1448</v>
      </c>
      <c r="AD102" s="26">
        <f>10*LOG10((10^((60+L102)/10)*(1+J102)+10^((65+K102)/10)*(2+I102/3))/(1+J102+2+I102/3))</f>
        <v>68.990677631599254</v>
      </c>
      <c r="AE102" s="24">
        <f>IF(AC102="",0,IF(EXACT(RIGHT(AC102,5),"dB(A)"),IF(ABS(VALUE(LEFT(AC102,FIND(" ",AC102,1)))-AD102)&lt;=0.5,1,-1),-1))</f>
        <v>1</v>
      </c>
      <c r="AF102" s="12" t="s">
        <v>1449</v>
      </c>
      <c r="AG102" s="26">
        <f>90+K102+10*LOG10(4/(0.16*(300+J102*20)/(1+L102/10)))+3</f>
        <v>88.849362535641234</v>
      </c>
      <c r="AH102" s="24">
        <f>IF(AF102="",0,IF(EXACT(RIGHT(AF102,2),"dB"),IF(ABS(VALUE(LEFT(AF102,FIND(" ",AF102,1)))-AG102)&lt;=0.5,1,-1),-1))</f>
        <v>-1</v>
      </c>
      <c r="AI102" s="12" t="s">
        <v>1450</v>
      </c>
      <c r="AJ102" s="26">
        <f>10*LOG10(3+40*(2*SQRT(((10+K102)/2)^2+(3+L102/10)^2)-(10+K102))*100*(1+J102)/340)</f>
        <v>21.938474797957529</v>
      </c>
      <c r="AK102" s="24">
        <f>IF(AI102="",0,IF(EXACT(RIGHT(AI102,2),"dB"),IF(ABS(VALUE(LEFT(AI102,FIND(" ",AI102,1)))-AJ102)&lt;=0.5,1,-1),-1))</f>
        <v>1</v>
      </c>
      <c r="AL102" s="12" t="s">
        <v>1451</v>
      </c>
      <c r="AM102" s="26">
        <f>80+L102-(80+K102)</f>
        <v>1</v>
      </c>
      <c r="AN102" s="24">
        <f>IF(AL102="",0,IF(EXACT(RIGHT(AL102,2),"dB"),IF(ABS(VALUE(LEFT(AL102,FIND(" ",AL102,1)))-AM102)&lt;=0.5,1,-1),-1))</f>
        <v>1</v>
      </c>
      <c r="AO102" s="12" t="s">
        <v>1452</v>
      </c>
      <c r="AP102" s="30">
        <f>((2^(5+L102))/2+1)/48</f>
        <v>42.6875</v>
      </c>
      <c r="AQ102" s="24">
        <f>IF(AO102="",0,IF(EXACT(RIGHT(AO102,2),"ms"),IF(ABS(VALUE(LEFT(AO102,FIND(" ",AO102,1)))-AP102)/AP102&lt;=0.02,1,-1),-1))</f>
        <v>-1</v>
      </c>
      <c r="AR102" s="39">
        <f>M102+P102+S102+V102+Y102+AB102+AE102+AH102+AK102+AN102+AQ102</f>
        <v>8</v>
      </c>
    </row>
    <row r="103" spans="1:44" ht="13.2">
      <c r="A103" s="41">
        <v>101</v>
      </c>
      <c r="B103" s="42">
        <v>41992.760253287037</v>
      </c>
      <c r="C103" s="12" t="s">
        <v>252</v>
      </c>
      <c r="D103" s="12" t="s">
        <v>253</v>
      </c>
      <c r="E103" s="12">
        <v>244850</v>
      </c>
      <c r="F103" s="23">
        <v>1</v>
      </c>
      <c r="G103" s="23">
        <f>INT(E103/100000)</f>
        <v>2</v>
      </c>
      <c r="H103" s="23">
        <f>INT(($E103-100000*G103)/10000)</f>
        <v>4</v>
      </c>
      <c r="I103" s="23">
        <f>INT(($E103-100000*G103-10000*H103)/1000)</f>
        <v>4</v>
      </c>
      <c r="J103" s="23">
        <f>INT(($E103-100000*$G103-10000*$H103-1000*$I103)/100)</f>
        <v>8</v>
      </c>
      <c r="K103" s="23">
        <f>INT(($E103-100000*$G103-10000*$H103-1000*$I103-100*$J103)/10)</f>
        <v>5</v>
      </c>
      <c r="L103" s="23">
        <f>INT(($E103-100000*$G103-10000*$H103-1000*$I103-100*$J103-10*$K103))</f>
        <v>0</v>
      </c>
      <c r="M103" s="24">
        <v>2</v>
      </c>
      <c r="N103" s="12" t="s">
        <v>254</v>
      </c>
      <c r="O103" s="26">
        <f>65+K103+10*LOG10(70+L103)+10*LOG10(100/(100+J103*20))</f>
        <v>84.301246920434394</v>
      </c>
      <c r="P103" s="24">
        <f>IF(N103="",0,IF(EXACT(RIGHT(N103,5),"dB(A)"),IF(ABS(VALUE(LEFT(N103,FIND(" ",N103,1)))-O103)&lt;=0.5,1,-1),-1))</f>
        <v>1</v>
      </c>
      <c r="Q103" s="45" t="s">
        <v>255</v>
      </c>
      <c r="R103" s="26">
        <f>10*LOG10(10^((80+G103)/10)*(10+L103)*1000/16/3600+10^((85+H103)/10)*(10+K103)*3000/16/3600+10^((90+J103)/10)*(10+J103)*100/16/3600)</f>
        <v>89.269896034602354</v>
      </c>
      <c r="S103" s="24">
        <f>IF(Q103="",0,IF(EXACT(RIGHT(Q103,5),"dB(A)"),IF(ABS(VALUE(LEFT(Q103,FIND(" ",Q103,1)))-R103)&lt;=0.5,1,-1),-1))</f>
        <v>1</v>
      </c>
      <c r="T103" s="12" t="s">
        <v>256</v>
      </c>
      <c r="U103" s="30">
        <f>4*(500+K103*10+L103)/(400+J103*10)/340*SQRT(8192/4/0.1)</f>
        <v>1.9291566864704068</v>
      </c>
      <c r="V103" s="24">
        <f>IF(T103="",0,IF(EXACT(RIGHT(T103,2)," s"),IF(ABS(VALUE(LEFT(T103,FIND(" ",T103,1)))-U103)&lt;=0.005,1,-1),-1))</f>
        <v>1</v>
      </c>
      <c r="W103" s="12">
        <v>256</v>
      </c>
      <c r="X103" s="36">
        <f>8*2^(5+L103)</f>
        <v>256</v>
      </c>
      <c r="Y103" s="24">
        <f>IF(W103="",0,IF(ABS(W103-X103)&lt;=1,1,-1))</f>
        <v>1</v>
      </c>
      <c r="Z103" s="12" t="s">
        <v>257</v>
      </c>
      <c r="AA103" s="26">
        <f>10*LOG10(10^((60+L103-39.4)/10)+10^((63+L103-26.2)/10)+10^((66+L103-16.1)/10)+10^((69+L103-8.6)/10)+10^((72+L103-3.2)/10)+10^((75+L103)/10)+10^((78+L103+1.2)/10)+10^((81+L103+1)/10)+10^((84+L103-1.1)/10)+10^((87+L103-6.6)/10))</f>
        <v>87.684202566927468</v>
      </c>
      <c r="AB103" s="24">
        <f>IF(Z103="",0,IF(EXACT(RIGHT(Z103,5),"dB(A)"),IF(ABS(VALUE(LEFT(Z103,FIND(" ",Z103,1)))-AA103)&lt;=0.2,1,-1),-1))</f>
        <v>1</v>
      </c>
      <c r="AC103" s="12" t="s">
        <v>258</v>
      </c>
      <c r="AD103" s="26">
        <f>10*LOG10((10^((60+L103)/10)*(1+J103)+10^((65+K103)/10)*(2+I103/3))/(1+J103+2+I103/3))</f>
        <v>65.356019968889612</v>
      </c>
      <c r="AE103" s="24">
        <f>IF(AC103="",0,IF(EXACT(RIGHT(AC103,5),"dB(A)"),IF(ABS(VALUE(LEFT(AC103,FIND(" ",AC103,1)))-AD103)&lt;=0.5,1,-1),-1))</f>
        <v>1</v>
      </c>
      <c r="AF103" s="12" t="s">
        <v>259</v>
      </c>
      <c r="AG103" s="26">
        <f>90+K103+10*LOG10(4/(0.16*(300+J103*20)/(1+L103/10)))+3</f>
        <v>85.351821769904632</v>
      </c>
      <c r="AH103" s="24">
        <f>IF(AF103="",0,IF(EXACT(RIGHT(AF103,2),"dB"),IF(ABS(VALUE(LEFT(AF103,FIND(" ",AF103,1)))-AG103)&lt;=0.5,1,-1),-1))</f>
        <v>1</v>
      </c>
      <c r="AI103" s="12" t="s">
        <v>260</v>
      </c>
      <c r="AJ103" s="26">
        <f>10*LOG10(3+40*(2*SQRT(((10+K103)/2)^2+(3+L103/10)^2)-(10+K103))*100*(1+J103)/340)</f>
        <v>20.981121014758841</v>
      </c>
      <c r="AK103" s="24">
        <f>IF(AI103="",0,IF(EXACT(RIGHT(AI103,2),"dB"),IF(ABS(VALUE(LEFT(AI103,FIND(" ",AI103,1)))-AJ103)&lt;=0.5,1,-1),-1))</f>
        <v>-1</v>
      </c>
      <c r="AL103" s="12" t="s">
        <v>261</v>
      </c>
      <c r="AM103" s="26">
        <f>80+L103-(80+K103)</f>
        <v>-5</v>
      </c>
      <c r="AN103" s="24">
        <f>IF(AL103="",0,IF(EXACT(RIGHT(AL103,2),"dB"),IF(ABS(VALUE(LEFT(AL103,FIND(" ",AL103,1)))-AM103)&lt;=0.5,1,-1),-1))</f>
        <v>1</v>
      </c>
      <c r="AO103" s="44" t="s">
        <v>262</v>
      </c>
      <c r="AP103" s="30">
        <f>((2^(5+L103))/2+1)/48</f>
        <v>0.35416666666666669</v>
      </c>
      <c r="AQ103" s="24">
        <f>IF(AO103="",0,IF(EXACT(RIGHT(AO103,2),"ms"),IF(ABS(VALUE(LEFT(AO103,FIND(" ",AO103,1)))-AP103)/AP103&lt;=0.02,1,-1),-1))</f>
        <v>-1</v>
      </c>
      <c r="AR103" s="39">
        <f>M103+P103+S103+V103+Y103+AB103+AE103+AH103+AK103+AN103+AQ103</f>
        <v>8</v>
      </c>
    </row>
    <row r="104" spans="1:44" ht="13.2">
      <c r="A104" s="41">
        <v>102</v>
      </c>
      <c r="B104" s="42">
        <v>41992.766346504628</v>
      </c>
      <c r="C104" s="12" t="s">
        <v>919</v>
      </c>
      <c r="D104" s="12" t="s">
        <v>920</v>
      </c>
      <c r="E104" s="12">
        <v>240575</v>
      </c>
      <c r="F104" s="23">
        <v>1</v>
      </c>
      <c r="G104" s="23">
        <f>INT(E104/100000)</f>
        <v>2</v>
      </c>
      <c r="H104" s="23">
        <f>INT(($E104-100000*G104)/10000)</f>
        <v>4</v>
      </c>
      <c r="I104" s="23">
        <f>INT(($E104-100000*G104-10000*H104)/1000)</f>
        <v>0</v>
      </c>
      <c r="J104" s="23">
        <f>INT(($E104-100000*$G104-10000*$H104-1000*$I104)/100)</f>
        <v>5</v>
      </c>
      <c r="K104" s="23">
        <f>INT(($E104-100000*$G104-10000*$H104-1000*$I104-100*$J104)/10)</f>
        <v>7</v>
      </c>
      <c r="L104" s="23">
        <f>INT(($E104-100000*$G104-10000*$H104-1000*$I104-100*$J104-10*$K104))</f>
        <v>5</v>
      </c>
      <c r="M104" s="24">
        <v>2</v>
      </c>
      <c r="N104" s="45" t="s">
        <v>921</v>
      </c>
      <c r="O104" s="26">
        <f>65+K104+10*LOG10(70+L104)+10*LOG10(100/(100+J104*20))</f>
        <v>87.740312677277188</v>
      </c>
      <c r="P104" s="24">
        <f>IF(N104="",0,IF(EXACT(RIGHT(N104,5),"dB(A)"),IF(ABS(VALUE(LEFT(N104,FIND(" ",N104,1)))-O104)&lt;=0.5,1,-1),-1))</f>
        <v>1</v>
      </c>
      <c r="Q104" s="12" t="s">
        <v>922</v>
      </c>
      <c r="R104" s="26">
        <f>10*LOG10(10^((80+G104)/10)*(10+L104)*1000/16/3600+10^((85+H104)/10)*(10+K104)*3000/16/3600+10^((90+J104)/10)*(10+J104)*100/16/3600)</f>
        <v>89.174717408106389</v>
      </c>
      <c r="S104" s="24">
        <f>IF(Q104="",0,IF(EXACT(RIGHT(Q104,5),"dB(A)"),IF(ABS(VALUE(LEFT(Q104,FIND(" ",Q104,1)))-R104)&lt;=0.5,1,-1),-1))</f>
        <v>1</v>
      </c>
      <c r="T104" s="12" t="s">
        <v>923</v>
      </c>
      <c r="U104" s="30">
        <f>4*(500+K104*10+L104)/(400+J104*10)/340*SQRT(8192/4/0.1)</f>
        <v>2.1513020018821507</v>
      </c>
      <c r="V104" s="24">
        <f>IF(T104="",0,IF(EXACT(RIGHT(T104,2)," s"),IF(ABS(VALUE(LEFT(T104,FIND(" ",T104,1)))-U104)&lt;=0.005,1,-1),-1))</f>
        <v>1</v>
      </c>
      <c r="W104" s="12">
        <v>8192</v>
      </c>
      <c r="X104" s="36">
        <f>8*2^(5+L104)</f>
        <v>8192</v>
      </c>
      <c r="Y104" s="24">
        <f>IF(W104="",0,IF(ABS(W104-X104)&lt;=1,1,-1))</f>
        <v>1</v>
      </c>
      <c r="Z104" s="43"/>
      <c r="AA104" s="26">
        <f>10*LOG10(10^((60+L104-39.4)/10)+10^((63+L104-26.2)/10)+10^((66+L104-16.1)/10)+10^((69+L104-8.6)/10)+10^((72+L104-3.2)/10)+10^((75+L104)/10)+10^((78+L104+1.2)/10)+10^((81+L104+1)/10)+10^((84+L104-1.1)/10)+10^((87+L104-6.6)/10))</f>
        <v>92.684202566927439</v>
      </c>
      <c r="AB104" s="24">
        <f>IF(Z104="",0,IF(EXACT(RIGHT(Z104,5),"dB(A)"),IF(ABS(VALUE(LEFT(Z104,FIND(" ",Z104,1)))-AA104)&lt;=0.2,1,-1),-1))</f>
        <v>0</v>
      </c>
      <c r="AC104" s="45" t="s">
        <v>924</v>
      </c>
      <c r="AD104" s="26">
        <f>10*LOG10((10^((60+L104)/10)*(1+J104)+10^((65+K104)/10)*(2+I104/3))/(1+J104+2+I104/3))</f>
        <v>68.016740291620209</v>
      </c>
      <c r="AE104" s="24">
        <f>IF(AC104="",0,IF(EXACT(RIGHT(AC104,5),"dB(A)"),IF(ABS(VALUE(LEFT(AC104,FIND(" ",AC104,1)))-AD104)&lt;=0.5,1,-1),-1))</f>
        <v>1</v>
      </c>
      <c r="AF104" s="45" t="s">
        <v>925</v>
      </c>
      <c r="AG104" s="26">
        <f>90+K104+10*LOG10(4/(0.16*(300+J104*20)/(1+L104/10)))+3</f>
        <v>89.719712763997563</v>
      </c>
      <c r="AH104" s="24">
        <f>IF(AF104="",0,IF(EXACT(RIGHT(AF104,2),"dB"),IF(ABS(VALUE(LEFT(AF104,FIND(" ",AF104,1)))-AG104)&lt;=0.5,1,-1),-1))</f>
        <v>1</v>
      </c>
      <c r="AI104" s="45" t="s">
        <v>926</v>
      </c>
      <c r="AJ104" s="26">
        <f>10*LOG10(3+40*(2*SQRT(((10+K104)/2)^2+(3+L104/10)^2)-(10+K104))*100*(1+J104)/340)</f>
        <v>20.032403823398383</v>
      </c>
      <c r="AK104" s="24">
        <f>IF(AI104="",0,IF(EXACT(RIGHT(AI104,2),"dB"),IF(ABS(VALUE(LEFT(AI104,FIND(" ",AI104,1)))-AJ104)&lt;=0.5,1,-1),-1))</f>
        <v>-1</v>
      </c>
      <c r="AL104" s="12" t="s">
        <v>927</v>
      </c>
      <c r="AM104" s="26">
        <f>80+L104-(80+K104)</f>
        <v>-2</v>
      </c>
      <c r="AN104" s="24">
        <f>IF(AL104="",0,IF(EXACT(RIGHT(AL104,2),"dB"),IF(ABS(VALUE(LEFT(AL104,FIND(" ",AL104,1)))-AM104)&lt;=0.5,1,-1),-1))</f>
        <v>1</v>
      </c>
      <c r="AO104" s="43"/>
      <c r="AP104" s="30">
        <f>((2^(5+L104))/2+1)/48</f>
        <v>10.6875</v>
      </c>
      <c r="AQ104" s="24">
        <f>IF(AO104="",0,IF(EXACT(RIGHT(AO104,2),"ms"),IF(ABS(VALUE(LEFT(AO104,FIND(" ",AO104,1)))-AP104)/AP104&lt;=0.02,1,-1),-1))</f>
        <v>0</v>
      </c>
      <c r="AR104" s="39">
        <f>M104+P104+S104+V104+Y104+AB104+AE104+AH104+AK104+AN104+AQ104</f>
        <v>8</v>
      </c>
    </row>
    <row r="105" spans="1:44" ht="13.2">
      <c r="A105" s="41">
        <v>103</v>
      </c>
      <c r="B105" s="42">
        <v>41992.75402216435</v>
      </c>
      <c r="C105" s="12" t="s">
        <v>59</v>
      </c>
      <c r="D105" s="12" t="s">
        <v>60</v>
      </c>
      <c r="E105" s="12">
        <v>233242</v>
      </c>
      <c r="F105" s="23">
        <v>1</v>
      </c>
      <c r="G105" s="23">
        <f>INT(E105/100000)</f>
        <v>2</v>
      </c>
      <c r="H105" s="23">
        <f>INT(($E105-100000*G105)/10000)</f>
        <v>3</v>
      </c>
      <c r="I105" s="23">
        <f>INT(($E105-100000*G105-10000*H105)/1000)</f>
        <v>3</v>
      </c>
      <c r="J105" s="23">
        <f>INT(($E105-100000*$G105-10000*$H105-1000*$I105)/100)</f>
        <v>2</v>
      </c>
      <c r="K105" s="23">
        <f>INT(($E105-100000*$G105-10000*$H105-1000*$I105-100*$J105)/10)</f>
        <v>4</v>
      </c>
      <c r="L105" s="23">
        <f>INT(($E105-100000*$G105-10000*$H105-1000*$I105-100*$J105-10*$K105))</f>
        <v>2</v>
      </c>
      <c r="M105" s="24">
        <v>2</v>
      </c>
      <c r="N105" s="45" t="s">
        <v>61</v>
      </c>
      <c r="O105" s="26">
        <f>65+K105+10*LOG10(70+L105)+10*LOG10(100/(100+J105*20))</f>
        <v>86.112044607530308</v>
      </c>
      <c r="P105" s="24">
        <f>IF(N105="",0,IF(EXACT(RIGHT(N105,5),"dB(A)"),IF(ABS(VALUE(LEFT(N105,FIND(" ",N105,1)))-O105)&lt;=0.5,1,-1),-1))</f>
        <v>1</v>
      </c>
      <c r="Q105" s="45" t="s">
        <v>62</v>
      </c>
      <c r="R105" s="26">
        <f>10*LOG10(10^((80+G105)/10)*(10+L105)*1000/16/3600+10^((85+H105)/10)*(10+K105)*3000/16/3600+10^((90+J105)/10)*(10+J105)*100/16/3600)</f>
        <v>87.210767878631174</v>
      </c>
      <c r="S105" s="24">
        <f>IF(Q105="",0,IF(EXACT(RIGHT(Q105,5),"dB(A)"),IF(ABS(VALUE(LEFT(Q105,FIND(" ",Q105,1)))-R105)&lt;=0.5,1,-1),-1))</f>
        <v>1</v>
      </c>
      <c r="T105" s="12" t="s">
        <v>63</v>
      </c>
      <c r="U105" s="30">
        <f>4*(500+K105*10+L105)/(400+J105*10)/340*SQRT(8192/4/0.1)</f>
        <v>2.1726814006586195</v>
      </c>
      <c r="V105" s="24">
        <f>IF(T105="",0,IF(EXACT(RIGHT(T105,2)," s"),IF(ABS(VALUE(LEFT(T105,FIND(" ",T105,1)))-U105)&lt;=0.005,1,-1),-1))</f>
        <v>1</v>
      </c>
      <c r="W105" s="12">
        <v>1024</v>
      </c>
      <c r="X105" s="36">
        <f>8*2^(5+L105)</f>
        <v>1024</v>
      </c>
      <c r="Y105" s="24">
        <f>IF(W105="",0,IF(ABS(W105-X105)&lt;=1,1,-1))</f>
        <v>1</v>
      </c>
      <c r="Z105" s="43"/>
      <c r="AA105" s="26">
        <f>10*LOG10(10^((60+L105-39.4)/10)+10^((63+L105-26.2)/10)+10^((66+L105-16.1)/10)+10^((69+L105-8.6)/10)+10^((72+L105-3.2)/10)+10^((75+L105)/10)+10^((78+L105+1.2)/10)+10^((81+L105+1)/10)+10^((84+L105-1.1)/10)+10^((87+L105-6.6)/10))</f>
        <v>89.684202566927453</v>
      </c>
      <c r="AB105" s="24">
        <f>IF(Z105="",0,IF(EXACT(RIGHT(Z105,5),"dB(A)"),IF(ABS(VALUE(LEFT(Z105,FIND(" ",Z105,1)))-AA105)&lt;=0.2,1,-1),-1))</f>
        <v>0</v>
      </c>
      <c r="AC105" s="45" t="s">
        <v>64</v>
      </c>
      <c r="AD105" s="26">
        <f>10*LOG10((10^((60+L105)/10)*(1+J105)+10^((65+K105)/10)*(2+I105/3))/(1+J105+2+I105/3))</f>
        <v>66.779797539885863</v>
      </c>
      <c r="AE105" s="24">
        <f>IF(AC105="",0,IF(EXACT(RIGHT(AC105,5),"dB(A)"),IF(ABS(VALUE(LEFT(AC105,FIND(" ",AC105,1)))-AD105)&lt;=0.5,1,-1),-1))</f>
        <v>1</v>
      </c>
      <c r="AF105" s="45" t="s">
        <v>65</v>
      </c>
      <c r="AG105" s="26">
        <f>90+K105+10*LOG10(4/(0.16*(300+J105*20)/(1+L105/10)))+3</f>
        <v>86.456423376774069</v>
      </c>
      <c r="AH105" s="24">
        <f>IF(AF105="",0,IF(EXACT(RIGHT(AF105,2),"dB"),IF(ABS(VALUE(LEFT(AF105,FIND(" ",AF105,1)))-AG105)&lt;=0.5,1,-1),-1))</f>
        <v>1</v>
      </c>
      <c r="AI105" s="45" t="s">
        <v>66</v>
      </c>
      <c r="AJ105" s="26">
        <f>10*LOG10(3+40*(2*SQRT(((10+K105)/2)^2+(3+L105/10)^2)-(10+K105))*100*(1+J105)/340)</f>
        <v>17.175251629633408</v>
      </c>
      <c r="AK105" s="24">
        <f>IF(AI105="",0,IF(EXACT(RIGHT(AI105,2),"dB"),IF(ABS(VALUE(LEFT(AI105,FIND(" ",AI105,1)))-AJ105)&lt;=0.5,1,-1),-1))</f>
        <v>-1</v>
      </c>
      <c r="AL105" s="12" t="s">
        <v>67</v>
      </c>
      <c r="AM105" s="26">
        <f>80+L105-(80+K105)</f>
        <v>-2</v>
      </c>
      <c r="AN105" s="24">
        <f>IF(AL105="",0,IF(EXACT(RIGHT(AL105,2),"dB"),IF(ABS(VALUE(LEFT(AL105,FIND(" ",AL105,1)))-AM105)&lt;=0.5,1,-1),-1))</f>
        <v>1</v>
      </c>
      <c r="AO105" s="43"/>
      <c r="AP105" s="30">
        <f>((2^(5+L105))/2+1)/48</f>
        <v>1.3541666666666667</v>
      </c>
      <c r="AQ105" s="24">
        <f>IF(AO105="",0,IF(EXACT(RIGHT(AO105,2),"ms"),IF(ABS(VALUE(LEFT(AO105,FIND(" ",AO105,1)))-AP105)/AP105&lt;=0.02,1,-1),-1))</f>
        <v>0</v>
      </c>
      <c r="AR105" s="39">
        <f>M105+P105+S105+V105+Y105+AB105+AE105+AH105+AK105+AN105+AQ105</f>
        <v>8</v>
      </c>
    </row>
    <row r="106" spans="1:44" ht="13.2">
      <c r="A106" s="41">
        <v>104</v>
      </c>
      <c r="B106" s="42">
        <v>41992.754457627314</v>
      </c>
      <c r="C106" s="12" t="s">
        <v>70</v>
      </c>
      <c r="D106" s="12" t="s">
        <v>71</v>
      </c>
      <c r="E106" s="12">
        <v>221209</v>
      </c>
      <c r="F106" s="23">
        <v>1</v>
      </c>
      <c r="G106" s="23">
        <f>INT(E106/100000)</f>
        <v>2</v>
      </c>
      <c r="H106" s="23">
        <f>INT(($E106-100000*G106)/10000)</f>
        <v>2</v>
      </c>
      <c r="I106" s="23">
        <f>INT(($E106-100000*G106-10000*H106)/1000)</f>
        <v>1</v>
      </c>
      <c r="J106" s="23">
        <f>INT(($E106-100000*$G106-10000*$H106-1000*$I106)/100)</f>
        <v>2</v>
      </c>
      <c r="K106" s="23">
        <f>INT(($E106-100000*$G106-10000*$H106-1000*$I106-100*$J106)/10)</f>
        <v>0</v>
      </c>
      <c r="L106" s="23">
        <f>INT(($E106-100000*$G106-10000*$H106-1000*$I106-100*$J106-10*$K106))</f>
        <v>9</v>
      </c>
      <c r="M106" s="24">
        <v>2</v>
      </c>
      <c r="N106" s="44" t="s">
        <v>72</v>
      </c>
      <c r="O106" s="26">
        <f>65+K106+10*LOG10(70+L106)+10*LOG10(100/(100+J106*20))</f>
        <v>82.514990556122029</v>
      </c>
      <c r="P106" s="24">
        <f>IF(N106="",0,IF(EXACT(RIGHT(N106,5),"dB(A)"),IF(ABS(VALUE(LEFT(N106,FIND(" ",N106,1)))-O106)&lt;=0.5,1,-1),-1))</f>
        <v>-1</v>
      </c>
      <c r="Q106" s="45" t="s">
        <v>73</v>
      </c>
      <c r="R106" s="26">
        <f>10*LOG10(10^((80+G106)/10)*(10+L106)*1000/16/3600+10^((85+H106)/10)*(10+K106)*3000/16/3600+10^((90+J106)/10)*(10+J106)*100/16/3600)</f>
        <v>85.394939859925671</v>
      </c>
      <c r="S106" s="24">
        <f>IF(Q106="",0,IF(EXACT(RIGHT(Q106,5),"dB(A)"),IF(ABS(VALUE(LEFT(Q106,FIND(" ",Q106,1)))-R106)&lt;=0.5,1,-1),-1))</f>
        <v>1</v>
      </c>
      <c r="T106" s="12" t="s">
        <v>74</v>
      </c>
      <c r="U106" s="30">
        <f>4*(500+K106*10+L106)/(400+J106*10)/340*SQRT(8192/4/0.1)</f>
        <v>2.0403963707292196</v>
      </c>
      <c r="V106" s="24">
        <f>IF(T106="",0,IF(EXACT(RIGHT(T106,2)," s"),IF(ABS(VALUE(LEFT(T106,FIND(" ",T106,1)))-U106)&lt;=0.005,1,-1),-1))</f>
        <v>1</v>
      </c>
      <c r="W106" s="12">
        <v>131072</v>
      </c>
      <c r="X106" s="36">
        <f>8*2^(5+L106)</f>
        <v>131072</v>
      </c>
      <c r="Y106" s="24">
        <f>IF(W106="",0,IF(ABS(W106-X106)&lt;=1,1,-1))</f>
        <v>1</v>
      </c>
      <c r="Z106" s="43"/>
      <c r="AA106" s="26">
        <f>10*LOG10(10^((60+L106-39.4)/10)+10^((63+L106-26.2)/10)+10^((66+L106-16.1)/10)+10^((69+L106-8.6)/10)+10^((72+L106-3.2)/10)+10^((75+L106)/10)+10^((78+L106+1.2)/10)+10^((81+L106+1)/10)+10^((84+L106-1.1)/10)+10^((87+L106-6.6)/10))</f>
        <v>96.684202566927439</v>
      </c>
      <c r="AB106" s="24">
        <f>IF(Z106="",0,IF(EXACT(RIGHT(Z106,5),"dB(A)"),IF(ABS(VALUE(LEFT(Z106,FIND(" ",Z106,1)))-AA106)&lt;=0.2,1,-1),-1))</f>
        <v>0</v>
      </c>
      <c r="AC106" s="45" t="s">
        <v>75</v>
      </c>
      <c r="AD106" s="26">
        <f>10*LOG10((10^((60+L106)/10)*(1+J106)+10^((65+K106)/10)*(2+I106/3))/(1+J106+2+I106/3))</f>
        <v>67.672740966190332</v>
      </c>
      <c r="AE106" s="24">
        <f>IF(AC106="",0,IF(EXACT(RIGHT(AC106,5),"dB(A)"),IF(ABS(VALUE(LEFT(AC106,FIND(" ",AC106,1)))-AD106)&lt;=0.5,1,-1),-1))</f>
        <v>1</v>
      </c>
      <c r="AF106" s="45" t="s">
        <v>76</v>
      </c>
      <c r="AG106" s="26">
        <f>90+K106+10*LOG10(4/(0.16*(300+J106*20)/(1+L106/10)))+3</f>
        <v>84.452146925826113</v>
      </c>
      <c r="AH106" s="24">
        <f>IF(AF106="",0,IF(EXACT(RIGHT(AF106,2),"dB"),IF(ABS(VALUE(LEFT(AF106,FIND(" ",AF106,1)))-AG106)&lt;=0.5,1,-1),-1))</f>
        <v>1</v>
      </c>
      <c r="AI106" s="45" t="s">
        <v>77</v>
      </c>
      <c r="AJ106" s="26">
        <f>10*LOG10(3+40*(2*SQRT(((10+K106)/2)^2+(3+L106/10)^2)-(10+K106))*100*(1+J106)/340)</f>
        <v>19.897540349912457</v>
      </c>
      <c r="AK106" s="24">
        <f>IF(AI106="",0,IF(EXACT(RIGHT(AI106,2),"dB"),IF(ABS(VALUE(LEFT(AI106,FIND(" ",AI106,1)))-AJ106)&lt;=0.5,1,-1),-1))</f>
        <v>1</v>
      </c>
      <c r="AL106" s="12" t="s">
        <v>78</v>
      </c>
      <c r="AM106" s="26">
        <f>80+L106-(80+K106)</f>
        <v>9</v>
      </c>
      <c r="AN106" s="24">
        <f>IF(AL106="",0,IF(EXACT(RIGHT(AL106,2),"dB"),IF(ABS(VALUE(LEFT(AL106,FIND(" ",AL106,1)))-AM106)&lt;=0.5,1,-1),-1))</f>
        <v>1</v>
      </c>
      <c r="AO106" s="43"/>
      <c r="AP106" s="30">
        <f>((2^(5+L106))/2+1)/48</f>
        <v>170.6875</v>
      </c>
      <c r="AQ106" s="24">
        <f>IF(AO106="",0,IF(EXACT(RIGHT(AO106,2),"ms"),IF(ABS(VALUE(LEFT(AO106,FIND(" ",AO106,1)))-AP106)/AP106&lt;=0.02,1,-1),-1))</f>
        <v>0</v>
      </c>
      <c r="AR106" s="39">
        <f>M106+P106+S106+V106+Y106+AB106+AE106+AH106+AK106+AN106+AQ106</f>
        <v>8</v>
      </c>
    </row>
    <row r="107" spans="1:44" ht="13.2">
      <c r="A107" s="41">
        <v>105</v>
      </c>
      <c r="B107" s="42">
        <v>41992.765350624999</v>
      </c>
      <c r="C107" s="12" t="s">
        <v>805</v>
      </c>
      <c r="D107" s="12" t="s">
        <v>806</v>
      </c>
      <c r="E107" s="12">
        <v>239515</v>
      </c>
      <c r="F107" s="23">
        <v>1</v>
      </c>
      <c r="G107" s="23">
        <f>INT(E107/100000)</f>
        <v>2</v>
      </c>
      <c r="H107" s="23">
        <f>INT(($E107-100000*G107)/10000)</f>
        <v>3</v>
      </c>
      <c r="I107" s="23">
        <f>INT(($E107-100000*G107-10000*H107)/1000)</f>
        <v>9</v>
      </c>
      <c r="J107" s="23">
        <f>INT(($E107-100000*$G107-10000*$H107-1000*$I107)/100)</f>
        <v>5</v>
      </c>
      <c r="K107" s="23">
        <f>INT(($E107-100000*$G107-10000*$H107-1000*$I107-100*$J107)/10)</f>
        <v>1</v>
      </c>
      <c r="L107" s="23">
        <f>INT(($E107-100000*$G107-10000*$H107-1000*$I107-100*$J107-10*$K107))</f>
        <v>5</v>
      </c>
      <c r="M107" s="24">
        <v>2</v>
      </c>
      <c r="N107" s="12" t="s">
        <v>807</v>
      </c>
      <c r="O107" s="26">
        <f>65+K107+10*LOG10(70+L107)+10*LOG10(100/(100+J107*20))</f>
        <v>81.740312677277188</v>
      </c>
      <c r="P107" s="24">
        <f>IF(N107="",0,IF(EXACT(RIGHT(N107,5),"dB(A)"),IF(ABS(VALUE(LEFT(N107,FIND(" ",N107,1)))-O107)&lt;=0.5,1,-1),-1))</f>
        <v>1</v>
      </c>
      <c r="Q107" s="12" t="s">
        <v>808</v>
      </c>
      <c r="R107" s="26">
        <f>10*LOG10(10^((80+G107)/10)*(10+L107)*1000/16/3600+10^((85+H107)/10)*(10+K107)*3000/16/3600+10^((90+J107)/10)*(10+J107)*100/16/3600)</f>
        <v>86.85840423776304</v>
      </c>
      <c r="S107" s="24">
        <f>IF(Q107="",0,IF(EXACT(RIGHT(Q107,5),"dB(A)"),IF(ABS(VALUE(LEFT(Q107,FIND(" ",Q107,1)))-R107)&lt;=0.5,1,-1),-1))</f>
        <v>1</v>
      </c>
      <c r="T107" s="12" t="s">
        <v>809</v>
      </c>
      <c r="U107" s="30">
        <f>4*(500+K107*10+L107)/(400+J107*10)/340*SQRT(8192/4/0.1)</f>
        <v>1.9268183147292306</v>
      </c>
      <c r="V107" s="24">
        <f>IF(T107="",0,IF(EXACT(RIGHT(T107,2)," s"),IF(ABS(VALUE(LEFT(T107,FIND(" ",T107,1)))-U107)&lt;=0.005,1,-1),-1))</f>
        <v>1</v>
      </c>
      <c r="W107" s="12">
        <v>8192</v>
      </c>
      <c r="X107" s="36">
        <f>8*2^(5+L107)</f>
        <v>8192</v>
      </c>
      <c r="Y107" s="24">
        <f>IF(W107="",0,IF(ABS(W107-X107)&lt;=1,1,-1))</f>
        <v>1</v>
      </c>
      <c r="Z107" s="12" t="s">
        <v>810</v>
      </c>
      <c r="AA107" s="26">
        <f>10*LOG10(10^((60+L107-39.4)/10)+10^((63+L107-26.2)/10)+10^((66+L107-16.1)/10)+10^((69+L107-8.6)/10)+10^((72+L107-3.2)/10)+10^((75+L107)/10)+10^((78+L107+1.2)/10)+10^((81+L107+1)/10)+10^((84+L107-1.1)/10)+10^((87+L107-6.6)/10))</f>
        <v>92.684202566927439</v>
      </c>
      <c r="AB107" s="24">
        <f>IF(Z107="",0,IF(EXACT(RIGHT(Z107,5),"dB(A)"),IF(ABS(VALUE(LEFT(Z107,FIND(" ",Z107,1)))-AA107)&lt;=0.2,1,-1),-1))</f>
        <v>-1</v>
      </c>
      <c r="AC107" s="12" t="s">
        <v>811</v>
      </c>
      <c r="AD107" s="26">
        <f>10*LOG10((10^((60+L107)/10)*(1+J107)+10^((65+K107)/10)*(2+I107/3))/(1+J107+2+I107/3))</f>
        <v>65.483226743754358</v>
      </c>
      <c r="AE107" s="24">
        <f>IF(AC107="",0,IF(EXACT(RIGHT(AC107,5),"dB(A)"),IF(ABS(VALUE(LEFT(AC107,FIND(" ",AC107,1)))-AD107)&lt;=0.5,1,-1),-1))</f>
        <v>1</v>
      </c>
      <c r="AF107" s="12" t="s">
        <v>812</v>
      </c>
      <c r="AG107" s="26">
        <f>90+K107+10*LOG10(4/(0.16*(300+J107*20)/(1+L107/10)))+3</f>
        <v>83.719712763997563</v>
      </c>
      <c r="AH107" s="24">
        <f>IF(AF107="",0,IF(EXACT(RIGHT(AF107,2),"dB"),IF(ABS(VALUE(LEFT(AF107,FIND(" ",AF107,1)))-AG107)&lt;=0.5,1,-1),-1))</f>
        <v>-1</v>
      </c>
      <c r="AI107" s="43"/>
      <c r="AJ107" s="26">
        <f>10*LOG10(3+40*(2*SQRT(((10+K107)/2)^2+(3+L107/10)^2)-(10+K107))*100*(1+J107)/340)</f>
        <v>21.669845388256</v>
      </c>
      <c r="AK107" s="24">
        <f>IF(AI107="",0,IF(EXACT(RIGHT(AI107,2),"dB"),IF(ABS(VALUE(LEFT(AI107,FIND(" ",AI107,1)))-AJ107)&lt;=0.5,1,-1),-1))</f>
        <v>0</v>
      </c>
      <c r="AL107" s="12" t="s">
        <v>813</v>
      </c>
      <c r="AM107" s="26">
        <f>80+L107-(80+K107)</f>
        <v>4</v>
      </c>
      <c r="AN107" s="24">
        <f>IF(AL107="",0,IF(EXACT(RIGHT(AL107,2),"dB"),IF(ABS(VALUE(LEFT(AL107,FIND(" ",AL107,1)))-AM107)&lt;=0.5,1,-1),-1))</f>
        <v>1</v>
      </c>
      <c r="AO107" s="12" t="s">
        <v>814</v>
      </c>
      <c r="AP107" s="30">
        <f>((2^(5+L107))/2+1)/48</f>
        <v>10.6875</v>
      </c>
      <c r="AQ107" s="24">
        <f>IF(AO107="",0,IF(EXACT(RIGHT(AO107,2),"ms"),IF(ABS(VALUE(LEFT(AO107,FIND(" ",AO107,1)))-AP107)/AP107&lt;=0.02,1,-1),-1))</f>
        <v>1</v>
      </c>
      <c r="AR107" s="39">
        <f>M107+P107+S107+V107+Y107+AB107+AE107+AH107+AK107+AN107+AQ107</f>
        <v>7</v>
      </c>
    </row>
    <row r="108" spans="1:44" ht="13.2">
      <c r="A108" s="41">
        <v>106</v>
      </c>
      <c r="B108" s="42">
        <v>41992.756749513886</v>
      </c>
      <c r="C108" s="12" t="s">
        <v>94</v>
      </c>
      <c r="D108" s="12" t="s">
        <v>95</v>
      </c>
      <c r="E108" s="12">
        <v>242354</v>
      </c>
      <c r="F108" s="23">
        <v>1</v>
      </c>
      <c r="G108" s="23">
        <f>INT(E108/100000)</f>
        <v>2</v>
      </c>
      <c r="H108" s="23">
        <f>INT(($E108-100000*G108)/10000)</f>
        <v>4</v>
      </c>
      <c r="I108" s="23">
        <f>INT(($E108-100000*G108-10000*H108)/1000)</f>
        <v>2</v>
      </c>
      <c r="J108" s="23">
        <f>INT(($E108-100000*$G108-10000*$H108-1000*$I108)/100)</f>
        <v>3</v>
      </c>
      <c r="K108" s="23">
        <f>INT(($E108-100000*$G108-10000*$H108-1000*$I108-100*$J108)/10)</f>
        <v>5</v>
      </c>
      <c r="L108" s="23">
        <f>INT(($E108-100000*$G108-10000*$H108-1000*$I108-100*$J108-10*$K108))</f>
        <v>4</v>
      </c>
      <c r="M108" s="24">
        <v>2</v>
      </c>
      <c r="N108" s="12" t="s">
        <v>96</v>
      </c>
      <c r="O108" s="26">
        <f>65+K108+10*LOG10(70+L108)+10*LOG10(100/(100+J108*20))</f>
        <v>86.651117370750512</v>
      </c>
      <c r="P108" s="24">
        <f>IF(N108="",0,IF(EXACT(RIGHT(N108,5),"dB(A)"),IF(ABS(VALUE(LEFT(N108,FIND(" ",N108,1)))-O108)&lt;=0.5,1,-1),-1))</f>
        <v>1</v>
      </c>
      <c r="Q108" s="12" t="s">
        <v>97</v>
      </c>
      <c r="R108" s="26">
        <f>10*LOG10(10^((80+G108)/10)*(10+L108)*1000/16/3600+10^((85+H108)/10)*(10+K108)*3000/16/3600+10^((90+J108)/10)*(10+J108)*100/16/3600)</f>
        <v>88.476482869686649</v>
      </c>
      <c r="S108" s="24">
        <f>IF(Q108="",0,IF(EXACT(RIGHT(Q108,5),"dB(A)"),IF(ABS(VALUE(LEFT(Q108,FIND(" ",Q108,1)))-R108)&lt;=0.5,1,-1),-1))</f>
        <v>1</v>
      </c>
      <c r="T108" s="12" t="s">
        <v>98</v>
      </c>
      <c r="U108" s="30">
        <f>4*(500+K108*10+L108)/(400+J108*10)/340*SQRT(8192/4/0.1)</f>
        <v>2.1691388840008905</v>
      </c>
      <c r="V108" s="24">
        <f>IF(T108="",0,IF(EXACT(RIGHT(T108,2)," s"),IF(ABS(VALUE(LEFT(T108,FIND(" ",T108,1)))-U108)&lt;=0.005,1,-1),-1))</f>
        <v>1</v>
      </c>
      <c r="W108" s="12">
        <v>4096</v>
      </c>
      <c r="X108" s="36">
        <f>8*2^(5+L108)</f>
        <v>4096</v>
      </c>
      <c r="Y108" s="24">
        <f>IF(W108="",0,IF(ABS(W108-X108)&lt;=1,1,-1))</f>
        <v>1</v>
      </c>
      <c r="Z108" s="43"/>
      <c r="AA108" s="26">
        <f>10*LOG10(10^((60+L108-39.4)/10)+10^((63+L108-26.2)/10)+10^((66+L108-16.1)/10)+10^((69+L108-8.6)/10)+10^((72+L108-3.2)/10)+10^((75+L108)/10)+10^((78+L108+1.2)/10)+10^((81+L108+1)/10)+10^((84+L108-1.1)/10)+10^((87+L108-6.6)/10))</f>
        <v>91.684202566927439</v>
      </c>
      <c r="AB108" s="24">
        <f>IF(Z108="",0,IF(EXACT(RIGHT(Z108,5),"dB(A)"),IF(ABS(VALUE(LEFT(Z108,FIND(" ",Z108,1)))-AA108)&lt;=0.2,1,-1),-1))</f>
        <v>0</v>
      </c>
      <c r="AC108" s="12" t="s">
        <v>99</v>
      </c>
      <c r="AD108" s="26">
        <f>10*LOG10((10^((60+L108)/10)*(1+J108)+10^((65+K108)/10)*(2+I108/3))/(1+J108+2+I108/3))</f>
        <v>67.409254750484862</v>
      </c>
      <c r="AE108" s="24">
        <f>IF(AC108="",0,IF(EXACT(RIGHT(AC108,5),"dB(A)"),IF(ABS(VALUE(LEFT(AC108,FIND(" ",AC108,1)))-AD108)&lt;=0.5,1,-1),-1))</f>
        <v>1</v>
      </c>
      <c r="AF108" s="12" t="s">
        <v>100</v>
      </c>
      <c r="AG108" s="26">
        <f>90+K108+10*LOG10(4/(0.16*(300+J108*20)/(1+L108/10)))+3</f>
        <v>87.87765543582988</v>
      </c>
      <c r="AH108" s="24">
        <f>IF(AF108="",0,IF(EXACT(RIGHT(AF108,2),"dB"),IF(ABS(VALUE(LEFT(AF108,FIND(" ",AF108,1)))-AG108)&lt;=0.5,1,-1),-1))</f>
        <v>1</v>
      </c>
      <c r="AI108" s="12" t="s">
        <v>101</v>
      </c>
      <c r="AJ108" s="26">
        <f>10*LOG10(3+40*(2*SQRT(((10+K108)/2)^2+(3+L108/10)^2)-(10+K108))*100*(1+J108)/340)</f>
        <v>18.582159402883292</v>
      </c>
      <c r="AK108" s="24">
        <f>IF(AI108="",0,IF(EXACT(RIGHT(AI108,2),"dB"),IF(ABS(VALUE(LEFT(AI108,FIND(" ",AI108,1)))-AJ108)&lt;=0.5,1,-1),-1))</f>
        <v>-1</v>
      </c>
      <c r="AL108" s="12" t="s">
        <v>102</v>
      </c>
      <c r="AM108" s="26">
        <f>80+L108-(80+K108)</f>
        <v>-1</v>
      </c>
      <c r="AN108" s="24">
        <f>IF(AL108="",0,IF(EXACT(RIGHT(AL108,2),"dB"),IF(ABS(VALUE(LEFT(AL108,FIND(" ",AL108,1)))-AM108)&lt;=0.5,1,-1),-1))</f>
        <v>1</v>
      </c>
      <c r="AO108" s="12" t="s">
        <v>103</v>
      </c>
      <c r="AP108" s="30">
        <f>((2^(5+L108))/2+1)/48</f>
        <v>5.354166666666667</v>
      </c>
      <c r="AQ108" s="24">
        <f>IF(AO108="",0,IF(EXACT(RIGHT(AO108,2),"ms"),IF(ABS(VALUE(LEFT(AO108,FIND(" ",AO108,1)))-AP108)/AP108&lt;=0.02,1,-1),-1))</f>
        <v>-1</v>
      </c>
      <c r="AR108" s="39">
        <f>M108+P108+S108+V108+Y108+AB108+AE108+AH108+AK108+AN108+AQ108</f>
        <v>7</v>
      </c>
    </row>
    <row r="109" spans="1:44" ht="13.2">
      <c r="A109" s="41">
        <v>107</v>
      </c>
      <c r="B109" s="42">
        <v>41992.76191765046</v>
      </c>
      <c r="C109" s="12" t="s">
        <v>115</v>
      </c>
      <c r="D109" s="12" t="s">
        <v>116</v>
      </c>
      <c r="E109" s="12">
        <v>241012</v>
      </c>
      <c r="F109" s="23">
        <v>1</v>
      </c>
      <c r="G109" s="23">
        <f>INT(E109/100000)</f>
        <v>2</v>
      </c>
      <c r="H109" s="23">
        <f>INT(($E109-100000*G109)/10000)</f>
        <v>4</v>
      </c>
      <c r="I109" s="23">
        <f>INT(($E109-100000*G109-10000*H109)/1000)</f>
        <v>1</v>
      </c>
      <c r="J109" s="23">
        <f>INT(($E109-100000*$G109-10000*$H109-1000*$I109)/100)</f>
        <v>0</v>
      </c>
      <c r="K109" s="23">
        <f>INT(($E109-100000*$G109-10000*$H109-1000*$I109-100*$J109)/10)</f>
        <v>1</v>
      </c>
      <c r="L109" s="23">
        <f>INT(($E109-100000*$G109-10000*$H109-1000*$I109-100*$J109-10*$K109))</f>
        <v>2</v>
      </c>
      <c r="M109" s="24">
        <v>2</v>
      </c>
      <c r="N109" s="12" t="s">
        <v>117</v>
      </c>
      <c r="O109" s="26">
        <f>65+K109+10*LOG10(70+L109)+10*LOG10(100/(100+J109*20))</f>
        <v>84.57332496431269</v>
      </c>
      <c r="P109" s="24">
        <f>IF(N109="",0,IF(EXACT(RIGHT(N109,5),"dB(A)"),IF(ABS(VALUE(LEFT(N109,FIND(" ",N109,1)))-O109)&lt;=0.5,1,-1),-1))</f>
        <v>1</v>
      </c>
      <c r="Q109" s="12" t="s">
        <v>118</v>
      </c>
      <c r="R109" s="26">
        <f>10*LOG10(10^((80+G109)/10)*(10+L109)*1000/16/3600+10^((85+H109)/10)*(10+K109)*3000/16/3600+10^((90+J109)/10)*(10+J109)*100/16/3600)</f>
        <v>87.036898893965272</v>
      </c>
      <c r="S109" s="24">
        <f>IF(Q109="",0,IF(EXACT(RIGHT(Q109,5),"dB(A)"),IF(ABS(VALUE(LEFT(Q109,FIND(" ",Q109,1)))-R109)&lt;=0.5,1,-1),-1))</f>
        <v>1</v>
      </c>
      <c r="T109" s="12" t="s">
        <v>119</v>
      </c>
      <c r="U109" s="30">
        <f>4*(500+K109*10+L109)/(400+J109*10)/340*SQRT(8192/4/0.1)</f>
        <v>2.1550433966680327</v>
      </c>
      <c r="V109" s="24">
        <f>IF(T109="",0,IF(EXACT(RIGHT(T109,2)," s"),IF(ABS(VALUE(LEFT(T109,FIND(" ",T109,1)))-U109)&lt;=0.005,1,-1),-1))</f>
        <v>1</v>
      </c>
      <c r="W109" s="12">
        <v>1024</v>
      </c>
      <c r="X109" s="36">
        <f>8*2^(5+L109)</f>
        <v>1024</v>
      </c>
      <c r="Y109" s="24">
        <f>IF(W109="",0,IF(ABS(W109-X109)&lt;=1,1,-1))</f>
        <v>1</v>
      </c>
      <c r="Z109" s="43"/>
      <c r="AA109" s="26">
        <f>10*LOG10(10^((60+L109-39.4)/10)+10^((63+L109-26.2)/10)+10^((66+L109-16.1)/10)+10^((69+L109-8.6)/10)+10^((72+L109-3.2)/10)+10^((75+L109)/10)+10^((78+L109+1.2)/10)+10^((81+L109+1)/10)+10^((84+L109-1.1)/10)+10^((87+L109-6.6)/10))</f>
        <v>89.684202566927453</v>
      </c>
      <c r="AB109" s="24">
        <f>IF(Z109="",0,IF(EXACT(RIGHT(Z109,5),"dB(A)"),IF(ABS(VALUE(LEFT(Z109,FIND(" ",Z109,1)))-AA109)&lt;=0.2,1,-1),-1))</f>
        <v>0</v>
      </c>
      <c r="AC109" s="12" t="s">
        <v>120</v>
      </c>
      <c r="AD109" s="26">
        <f>10*LOG10((10^((60+L109)/10)*(1+J109)+10^((65+K109)/10)*(2+I109/3))/(1+J109+2+I109/3))</f>
        <v>65.135129998905811</v>
      </c>
      <c r="AE109" s="24">
        <f>IF(AC109="",0,IF(EXACT(RIGHT(AC109,5),"dB(A)"),IF(ABS(VALUE(LEFT(AC109,FIND(" ",AC109,1)))-AD109)&lt;=0.5,1,-1),-1))</f>
        <v>-1</v>
      </c>
      <c r="AF109" s="12" t="s">
        <v>121</v>
      </c>
      <c r="AG109" s="26">
        <f>90+K109+10*LOG10(4/(0.16*(300+J109*20)/(1+L109/10)))+3</f>
        <v>84</v>
      </c>
      <c r="AH109" s="24">
        <f>IF(AF109="",0,IF(EXACT(RIGHT(AF109,2),"dB"),IF(ABS(VALUE(LEFT(AF109,FIND(" ",AF109,1)))-AG109)&lt;=0.5,1,-1),-1))</f>
        <v>1</v>
      </c>
      <c r="AI109" s="12" t="s">
        <v>122</v>
      </c>
      <c r="AJ109" s="26">
        <f>10*LOG10(3+40*(2*SQRT(((10+K109)/2)^2+(3+L109/10)^2)-(10+K109))*100*(1+J109)/340)</f>
        <v>13.675424085305913</v>
      </c>
      <c r="AK109" s="24">
        <f>IF(AI109="",0,IF(EXACT(RIGHT(AI109,2),"dB"),IF(ABS(VALUE(LEFT(AI109,FIND(" ",AI109,1)))-AJ109)&lt;=0.5,1,-1),-1))</f>
        <v>-1</v>
      </c>
      <c r="AL109" s="12" t="s">
        <v>123</v>
      </c>
      <c r="AM109" s="26">
        <f>80+L109-(80+K109)</f>
        <v>1</v>
      </c>
      <c r="AN109" s="24">
        <f>IF(AL109="",0,IF(EXACT(RIGHT(AL109,2),"dB"),IF(ABS(VALUE(LEFT(AL109,FIND(" ",AL109,1)))-AM109)&lt;=0.5,1,-1),-1))</f>
        <v>1</v>
      </c>
      <c r="AO109" s="12" t="s">
        <v>124</v>
      </c>
      <c r="AP109" s="30">
        <f>((2^(5+L109))/2+1)/48</f>
        <v>1.3541666666666667</v>
      </c>
      <c r="AQ109" s="24">
        <f>IF(AO109="",0,IF(EXACT(RIGHT(AO109,2),"ms"),IF(ABS(VALUE(LEFT(AO109,FIND(" ",AO109,1)))-AP109)/AP109&lt;=0.02,1,-1),-1))</f>
        <v>1</v>
      </c>
      <c r="AR109" s="39">
        <f>M109+P109+S109+V109+Y109+AB109+AE109+AH109+AK109+AN109+AQ109</f>
        <v>7</v>
      </c>
    </row>
    <row r="110" spans="1:44" ht="13.2">
      <c r="A110" s="41">
        <v>108</v>
      </c>
      <c r="B110" s="42">
        <v>41992.760855590277</v>
      </c>
      <c r="C110" s="12" t="s">
        <v>274</v>
      </c>
      <c r="D110" s="12" t="s">
        <v>275</v>
      </c>
      <c r="E110" s="12">
        <v>242310</v>
      </c>
      <c r="F110" s="23">
        <v>1</v>
      </c>
      <c r="G110" s="23">
        <f>INT(E110/100000)</f>
        <v>2</v>
      </c>
      <c r="H110" s="23">
        <f>INT(($E110-100000*G110)/10000)</f>
        <v>4</v>
      </c>
      <c r="I110" s="23">
        <f>INT(($E110-100000*G110-10000*H110)/1000)</f>
        <v>2</v>
      </c>
      <c r="J110" s="23">
        <f>INT(($E110-100000*$G110-10000*$H110-1000*$I110)/100)</f>
        <v>3</v>
      </c>
      <c r="K110" s="23">
        <f>INT(($E110-100000*$G110-10000*$H110-1000*$I110-100*$J110)/10)</f>
        <v>1</v>
      </c>
      <c r="L110" s="23">
        <f>INT(($E110-100000*$G110-10000*$H110-1000*$I110-100*$J110-10*$K110))</f>
        <v>0</v>
      </c>
      <c r="M110" s="24">
        <v>2</v>
      </c>
      <c r="N110" s="12" t="s">
        <v>276</v>
      </c>
      <c r="O110" s="26">
        <f>65+K110+10*LOG10(70+L110)+10*LOG10(100/(100+J110*20))</f>
        <v>82.409780573583319</v>
      </c>
      <c r="P110" s="24">
        <f>IF(N110="",0,IF(EXACT(RIGHT(N110,5),"dB(A)"),IF(ABS(VALUE(LEFT(N110,FIND(" ",N110,1)))-O110)&lt;=0.5,1,-1),-1))</f>
        <v>1</v>
      </c>
      <c r="Q110" s="12" t="s">
        <v>277</v>
      </c>
      <c r="R110" s="26">
        <f>10*LOG10(10^((80+G110)/10)*(10+L110)*1000/16/3600+10^((85+H110)/10)*(10+K110)*3000/16/3600+10^((90+J110)/10)*(10+J110)*100/16/3600)</f>
        <v>87.2233059457634</v>
      </c>
      <c r="S110" s="24">
        <f>IF(Q110="",0,IF(EXACT(RIGHT(Q110,5),"dB(A)"),IF(ABS(VALUE(LEFT(Q110,FIND(" ",Q110,1)))-R110)&lt;=0.5,1,-1),-1))</f>
        <v>1</v>
      </c>
      <c r="T110" s="12" t="s">
        <v>278</v>
      </c>
      <c r="U110" s="30">
        <f>4*(500+K110*10+L110)/(400+J110*10)/340*SQRT(8192/4/0.1)</f>
        <v>1.9968607054881846</v>
      </c>
      <c r="V110" s="24">
        <f>IF(T110="",0,IF(EXACT(RIGHT(T110,2)," s"),IF(ABS(VALUE(LEFT(T110,FIND(" ",T110,1)))-U110)&lt;=0.005,1,-1),-1))</f>
        <v>1</v>
      </c>
      <c r="W110" s="12">
        <v>256</v>
      </c>
      <c r="X110" s="36">
        <f>8*2^(5+L110)</f>
        <v>256</v>
      </c>
      <c r="Y110" s="24">
        <f>IF(W110="",0,IF(ABS(W110-X110)&lt;=1,1,-1))</f>
        <v>1</v>
      </c>
      <c r="Z110" s="43"/>
      <c r="AA110" s="26">
        <f>10*LOG10(10^((60+L110-39.4)/10)+10^((63+L110-26.2)/10)+10^((66+L110-16.1)/10)+10^((69+L110-8.6)/10)+10^((72+L110-3.2)/10)+10^((75+L110)/10)+10^((78+L110+1.2)/10)+10^((81+L110+1)/10)+10^((84+L110-1.1)/10)+10^((87+L110-6.6)/10))</f>
        <v>87.684202566927468</v>
      </c>
      <c r="AB110" s="24">
        <f>IF(Z110="",0,IF(EXACT(RIGHT(Z110,5),"dB(A)"),IF(ABS(VALUE(LEFT(Z110,FIND(" ",Z110,1)))-AA110)&lt;=0.2,1,-1),-1))</f>
        <v>0</v>
      </c>
      <c r="AC110" s="12" t="s">
        <v>279</v>
      </c>
      <c r="AD110" s="26">
        <f>10*LOG10((10^((60+L110)/10)*(1+J110)+10^((65+K110)/10)*(2+I110/3))/(1+J110+2+I110/3))</f>
        <v>63.409254750484855</v>
      </c>
      <c r="AE110" s="24">
        <f>IF(AC110="",0,IF(EXACT(RIGHT(AC110,5),"dB(A)"),IF(ABS(VALUE(LEFT(AC110,FIND(" ",AC110,1)))-AD110)&lt;=0.5,1,-1),-1))</f>
        <v>1</v>
      </c>
      <c r="AF110" s="44" t="s">
        <v>280</v>
      </c>
      <c r="AG110" s="26">
        <f>90+K110+10*LOG10(4/(0.16*(300+J110*20)/(1+L110/10)))+3</f>
        <v>82.416375079047498</v>
      </c>
      <c r="AH110" s="24">
        <f>IF(AF110="",0,IF(EXACT(RIGHT(AF110,2),"dB"),IF(ABS(VALUE(LEFT(AF110,FIND(" ",AF110,1)))-AG110)&lt;=0.5,1,-1),-1))</f>
        <v>-1</v>
      </c>
      <c r="AI110" s="12" t="s">
        <v>281</v>
      </c>
      <c r="AJ110" s="26">
        <f>10*LOG10(3+40*(2*SQRT(((10+K110)/2)^2+(3+L110/10)^2)-(10+K110))*100*(1+J110)/340)</f>
        <v>18.750514768089641</v>
      </c>
      <c r="AK110" s="24">
        <f>IF(AI110="",0,IF(EXACT(RIGHT(AI110,2),"dB"),IF(ABS(VALUE(LEFT(AI110,FIND(" ",AI110,1)))-AJ110)&lt;=0.5,1,-1),-1))</f>
        <v>1</v>
      </c>
      <c r="AL110" s="12" t="s">
        <v>282</v>
      </c>
      <c r="AM110" s="26">
        <f>80+L110-(80+K110)</f>
        <v>-1</v>
      </c>
      <c r="AN110" s="24">
        <f>IF(AL110="",0,IF(EXACT(RIGHT(AL110,2),"dB"),IF(ABS(VALUE(LEFT(AL110,FIND(" ",AL110,1)))-AM110)&lt;=0.5,1,-1),-1))</f>
        <v>1</v>
      </c>
      <c r="AO110" s="12" t="s">
        <v>283</v>
      </c>
      <c r="AP110" s="30">
        <f>((2^(5+L110))/2+1)/48</f>
        <v>0.35416666666666669</v>
      </c>
      <c r="AQ110" s="24">
        <f>IF(AO110="",0,IF(EXACT(RIGHT(AO110,2),"ms"),IF(ABS(VALUE(LEFT(AO110,FIND(" ",AO110,1)))-AP110)/AP110&lt;=0.02,1,-1),-1))</f>
        <v>-1</v>
      </c>
      <c r="AR110" s="39">
        <f>M110+P110+S110+V110+Y110+AB110+AE110+AH110+AK110+AN110+AQ110</f>
        <v>7</v>
      </c>
    </row>
    <row r="111" spans="1:44" ht="13.2">
      <c r="A111" s="41">
        <v>109</v>
      </c>
      <c r="B111" s="42">
        <v>41992.762596759261</v>
      </c>
      <c r="C111" s="12" t="s">
        <v>421</v>
      </c>
      <c r="D111" s="12" t="s">
        <v>422</v>
      </c>
      <c r="E111" s="12">
        <v>231703</v>
      </c>
      <c r="F111" s="23">
        <v>1</v>
      </c>
      <c r="G111" s="23">
        <f>INT(E111/100000)</f>
        <v>2</v>
      </c>
      <c r="H111" s="23">
        <f>INT(($E111-100000*G111)/10000)</f>
        <v>3</v>
      </c>
      <c r="I111" s="23">
        <f>INT(($E111-100000*G111-10000*H111)/1000)</f>
        <v>1</v>
      </c>
      <c r="J111" s="23">
        <f>INT(($E111-100000*$G111-10000*$H111-1000*$I111)/100)</f>
        <v>7</v>
      </c>
      <c r="K111" s="23">
        <f>INT(($E111-100000*$G111-10000*$H111-1000*$I111-100*$J111)/10)</f>
        <v>0</v>
      </c>
      <c r="L111" s="23">
        <f>INT(($E111-100000*$G111-10000*$H111-1000*$I111-100*$J111-10*$K111))</f>
        <v>3</v>
      </c>
      <c r="M111" s="24">
        <v>2</v>
      </c>
      <c r="N111" s="12" t="s">
        <v>423</v>
      </c>
      <c r="O111" s="26">
        <f>65+K111+10*LOG10(70+L111)+10*LOG10(100/(100+J111*20))</f>
        <v>79.831116184088501</v>
      </c>
      <c r="P111" s="24">
        <f>IF(N111="",0,IF(EXACT(RIGHT(N111,5),"dB(A)"),IF(ABS(VALUE(LEFT(N111,FIND(" ",N111,1)))-O111)&lt;=0.5,1,-1),-1))</f>
        <v>1</v>
      </c>
      <c r="Q111" s="12" t="s">
        <v>424</v>
      </c>
      <c r="R111" s="26">
        <f>10*LOG10(10^((80+G111)/10)*(10+L111)*1000/16/3600+10^((85+H111)/10)*(10+K111)*3000/16/3600+10^((90+J111)/10)*(10+J111)*100/16/3600)</f>
        <v>87.095359010491379</v>
      </c>
      <c r="S111" s="24">
        <f>IF(Q111="",0,IF(EXACT(RIGHT(Q111,5),"dB(A)"),IF(ABS(VALUE(LEFT(Q111,FIND(" ",Q111,1)))-R111)&lt;=0.5,1,-1),-1))</f>
        <v>-1</v>
      </c>
      <c r="T111" s="12" t="s">
        <v>425</v>
      </c>
      <c r="U111" s="30">
        <f>4*(500+K111*10+L111)/(400+J111*10)/340*SQRT(8192/4/0.1)</f>
        <v>1.8018398080518956</v>
      </c>
      <c r="V111" s="24">
        <f>IF(T111="",0,IF(EXACT(RIGHT(T111,2)," s"),IF(ABS(VALUE(LEFT(T111,FIND(" ",T111,1)))-U111)&lt;=0.005,1,-1),-1))</f>
        <v>1</v>
      </c>
      <c r="W111" s="12">
        <v>2048</v>
      </c>
      <c r="X111" s="36">
        <f>8*2^(5+L111)</f>
        <v>2048</v>
      </c>
      <c r="Y111" s="24">
        <f>IF(W111="",0,IF(ABS(W111-X111)&lt;=1,1,-1))</f>
        <v>1</v>
      </c>
      <c r="Z111" s="43"/>
      <c r="AA111" s="26">
        <f>10*LOG10(10^((60+L111-39.4)/10)+10^((63+L111-26.2)/10)+10^((66+L111-16.1)/10)+10^((69+L111-8.6)/10)+10^((72+L111-3.2)/10)+10^((75+L111)/10)+10^((78+L111+1.2)/10)+10^((81+L111+1)/10)+10^((84+L111-1.1)/10)+10^((87+L111-6.6)/10))</f>
        <v>90.684202566927453</v>
      </c>
      <c r="AB111" s="24">
        <f>IF(Z111="",0,IF(EXACT(RIGHT(Z111,5),"dB(A)"),IF(ABS(VALUE(LEFT(Z111,FIND(" ",Z111,1)))-AA111)&lt;=0.2,1,-1),-1))</f>
        <v>0</v>
      </c>
      <c r="AC111" s="12" t="s">
        <v>426</v>
      </c>
      <c r="AD111" s="26">
        <f>10*LOG10((10^((60+L111)/10)*(1+J111)+10^((65+K111)/10)*(2+I111/3))/(1+J111+2+I111/3))</f>
        <v>63.53874300743221</v>
      </c>
      <c r="AE111" s="24">
        <f>IF(AC111="",0,IF(EXACT(RIGHT(AC111,5),"dB(A)"),IF(ABS(VALUE(LEFT(AC111,FIND(" ",AC111,1)))-AD111)&lt;=0.5,1,-1),-1))</f>
        <v>1</v>
      </c>
      <c r="AF111" s="12" t="s">
        <v>427</v>
      </c>
      <c r="AG111" s="26">
        <f>90+K111+10*LOG10(4/(0.16*(300+J111*20)/(1+L111/10)))+3</f>
        <v>81.684306844926866</v>
      </c>
      <c r="AH111" s="24">
        <f>IF(AF111="",0,IF(EXACT(RIGHT(AF111,2),"dB"),IF(ABS(VALUE(LEFT(AF111,FIND(" ",AF111,1)))-AG111)&lt;=0.5,1,-1),-1))</f>
        <v>1</v>
      </c>
      <c r="AI111" s="12" t="s">
        <v>428</v>
      </c>
      <c r="AJ111" s="26">
        <f>10*LOG10(3+40*(2*SQRT(((10+K111)/2)^2+(3+L111/10)^2)-(10+K111))*100*(1+J111)/340)</f>
        <v>22.776286570178325</v>
      </c>
      <c r="AK111" s="24">
        <f>IF(AI111="",0,IF(EXACT(RIGHT(AI111,2),"dB"),IF(ABS(VALUE(LEFT(AI111,FIND(" ",AI111,1)))-AJ111)&lt;=0.5,1,-1),-1))</f>
        <v>-1</v>
      </c>
      <c r="AL111" s="12" t="s">
        <v>429</v>
      </c>
      <c r="AM111" s="26">
        <f>80+L111-(80+K111)</f>
        <v>3</v>
      </c>
      <c r="AN111" s="24">
        <f>IF(AL111="",0,IF(EXACT(RIGHT(AL111,2),"dB"),IF(ABS(VALUE(LEFT(AL111,FIND(" ",AL111,1)))-AM111)&lt;=0.5,1,-1),-1))</f>
        <v>1</v>
      </c>
      <c r="AO111" s="12" t="s">
        <v>430</v>
      </c>
      <c r="AP111" s="30">
        <f>((2^(5+L111))/2+1)/48</f>
        <v>2.6875</v>
      </c>
      <c r="AQ111" s="24">
        <f>IF(AO111="",0,IF(EXACT(RIGHT(AO111,2),"ms"),IF(ABS(VALUE(LEFT(AO111,FIND(" ",AO111,1)))-AP111)/AP111&lt;=0.02,1,-1),-1))</f>
        <v>1</v>
      </c>
      <c r="AR111" s="39">
        <f>M111+P111+S111+V111+Y111+AB111+AE111+AH111+AK111+AN111+AQ111</f>
        <v>7</v>
      </c>
    </row>
    <row r="112" spans="1:44" ht="13.2">
      <c r="A112" s="41">
        <v>110</v>
      </c>
      <c r="B112" s="42">
        <v>41992.762972615747</v>
      </c>
      <c r="C112" s="12" t="s">
        <v>431</v>
      </c>
      <c r="D112" s="12" t="s">
        <v>432</v>
      </c>
      <c r="E112" s="12">
        <v>239435</v>
      </c>
      <c r="F112" s="23">
        <v>1</v>
      </c>
      <c r="G112" s="23">
        <f>INT(E112/100000)</f>
        <v>2</v>
      </c>
      <c r="H112" s="23">
        <f>INT(($E112-100000*G112)/10000)</f>
        <v>3</v>
      </c>
      <c r="I112" s="23">
        <f>INT(($E112-100000*G112-10000*H112)/1000)</f>
        <v>9</v>
      </c>
      <c r="J112" s="23">
        <f>INT(($E112-100000*$G112-10000*$H112-1000*$I112)/100)</f>
        <v>4</v>
      </c>
      <c r="K112" s="23">
        <f>INT(($E112-100000*$G112-10000*$H112-1000*$I112-100*$J112)/10)</f>
        <v>3</v>
      </c>
      <c r="L112" s="23">
        <f>INT(($E112-100000*$G112-10000*$H112-1000*$I112-100*$J112-10*$K112))</f>
        <v>5</v>
      </c>
      <c r="M112" s="24">
        <v>2</v>
      </c>
      <c r="N112" s="12" t="s">
        <v>433</v>
      </c>
      <c r="O112" s="26">
        <f>65+K112+10*LOG10(70+L112)+10*LOG10(100/(100+J112*20))</f>
        <v>84.197887582883936</v>
      </c>
      <c r="P112" s="24">
        <f>IF(N112="",0,IF(EXACT(RIGHT(N112,5),"dB(A)"),IF(ABS(VALUE(LEFT(N112,FIND(" ",N112,1)))-O112)&lt;=0.5,1,-1),-1))</f>
        <v>1</v>
      </c>
      <c r="Q112" s="12" t="s">
        <v>434</v>
      </c>
      <c r="R112" s="26">
        <f>10*LOG10(10^((80+G112)/10)*(10+L112)*1000/16/3600+10^((85+H112)/10)*(10+K112)*3000/16/3600+10^((90+J112)/10)*(10+J112)*100/16/3600)</f>
        <v>87.238961117365619</v>
      </c>
      <c r="S112" s="24">
        <f>IF(Q112="",0,IF(EXACT(RIGHT(Q112,5),"dB(A)"),IF(ABS(VALUE(LEFT(Q112,FIND(" ",Q112,1)))-R112)&lt;=0.5,1,-1),-1))</f>
        <v>-1</v>
      </c>
      <c r="T112" s="12" t="s">
        <v>435</v>
      </c>
      <c r="U112" s="30">
        <f>4*(500+K112*10+L112)/(400+J112*10)/340*SQRT(8192/4/0.1)</f>
        <v>2.0471381697752085</v>
      </c>
      <c r="V112" s="24">
        <f>IF(T112="",0,IF(EXACT(RIGHT(T112,2)," s"),IF(ABS(VALUE(LEFT(T112,FIND(" ",T112,1)))-U112)&lt;=0.005,1,-1),-1))</f>
        <v>1</v>
      </c>
      <c r="W112" s="12">
        <v>8192</v>
      </c>
      <c r="X112" s="36">
        <f>8*2^(5+L112)</f>
        <v>8192</v>
      </c>
      <c r="Y112" s="24">
        <f>IF(W112="",0,IF(ABS(W112-X112)&lt;=1,1,-1))</f>
        <v>1</v>
      </c>
      <c r="Z112" s="43"/>
      <c r="AA112" s="26">
        <f>10*LOG10(10^((60+L112-39.4)/10)+10^((63+L112-26.2)/10)+10^((66+L112-16.1)/10)+10^((69+L112-8.6)/10)+10^((72+L112-3.2)/10)+10^((75+L112)/10)+10^((78+L112+1.2)/10)+10^((81+L112+1)/10)+10^((84+L112-1.1)/10)+10^((87+L112-6.6)/10))</f>
        <v>92.684202566927439</v>
      </c>
      <c r="AB112" s="24">
        <f>IF(Z112="",0,IF(EXACT(RIGHT(Z112,5),"dB(A)"),IF(ABS(VALUE(LEFT(Z112,FIND(" ",Z112,1)))-AA112)&lt;=0.2,1,-1),-1))</f>
        <v>0</v>
      </c>
      <c r="AC112" s="12" t="s">
        <v>436</v>
      </c>
      <c r="AD112" s="26">
        <f>10*LOG10((10^((60+L112)/10)*(1+J112)+10^((65+K112)/10)*(2+I112/3))/(1+J112+2+I112/3))</f>
        <v>66.754048667725044</v>
      </c>
      <c r="AE112" s="24">
        <f>IF(AC112="",0,IF(EXACT(RIGHT(AC112,5),"dB(A)"),IF(ABS(VALUE(LEFT(AC112,FIND(" ",AC112,1)))-AD112)&lt;=0.5,1,-1),-1))</f>
        <v>1</v>
      </c>
      <c r="AF112" s="44" t="s">
        <v>437</v>
      </c>
      <c r="AG112" s="26">
        <f>90+K112+10*LOG10(4/(0.16*(300+J112*20)/(1+L112/10)))+3</f>
        <v>85.942476711109094</v>
      </c>
      <c r="AH112" s="24">
        <f>IF(AF112="",0,IF(EXACT(RIGHT(AF112,2),"dB"),IF(ABS(VALUE(LEFT(AF112,FIND(" ",AF112,1)))-AG112)&lt;=0.5,1,-1),-1))</f>
        <v>-1</v>
      </c>
      <c r="AI112" s="12" t="s">
        <v>438</v>
      </c>
      <c r="AJ112" s="26">
        <f>10*LOG10(3+40*(2*SQRT(((10+K112)/2)^2+(3+L112/10)^2)-(10+K112))*100*(1+J112)/340)</f>
        <v>20.2862460578691</v>
      </c>
      <c r="AK112" s="24">
        <f>IF(AI112="",0,IF(EXACT(RIGHT(AI112,2),"dB"),IF(ABS(VALUE(LEFT(AI112,FIND(" ",AI112,1)))-AJ112)&lt;=0.5,1,-1),-1))</f>
        <v>1</v>
      </c>
      <c r="AL112" s="12" t="s">
        <v>439</v>
      </c>
      <c r="AM112" s="26">
        <f>80+L112-(80+K112)</f>
        <v>2</v>
      </c>
      <c r="AN112" s="24">
        <f>IF(AL112="",0,IF(EXACT(RIGHT(AL112,2),"dB"),IF(ABS(VALUE(LEFT(AL112,FIND(" ",AL112,1)))-AM112)&lt;=0.5,1,-1),-1))</f>
        <v>1</v>
      </c>
      <c r="AO112" s="12" t="s">
        <v>440</v>
      </c>
      <c r="AP112" s="30">
        <f>((2^(5+L112))/2+1)/48</f>
        <v>10.6875</v>
      </c>
      <c r="AQ112" s="24">
        <f>IF(AO112="",0,IF(EXACT(RIGHT(AO112,2),"ms"),IF(ABS(VALUE(LEFT(AO112,FIND(" ",AO112,1)))-AP112)/AP112&lt;=0.02,1,-1),-1))</f>
        <v>1</v>
      </c>
      <c r="AR112" s="39">
        <f>M112+P112+S112+V112+Y112+AB112+AE112+AH112+AK112+AN112+AQ112</f>
        <v>7</v>
      </c>
    </row>
    <row r="113" spans="1:44" ht="13.2">
      <c r="A113" s="41">
        <v>111</v>
      </c>
      <c r="B113" s="42">
        <v>41992.763110972221</v>
      </c>
      <c r="C113" s="12" t="s">
        <v>452</v>
      </c>
      <c r="D113" s="12" t="s">
        <v>453</v>
      </c>
      <c r="E113" s="12">
        <v>254181</v>
      </c>
      <c r="F113" s="23">
        <v>1</v>
      </c>
      <c r="G113" s="23">
        <f>INT(E113/100000)</f>
        <v>2</v>
      </c>
      <c r="H113" s="23">
        <f>INT(($E113-100000*G113)/10000)</f>
        <v>5</v>
      </c>
      <c r="I113" s="23">
        <f>INT(($E113-100000*G113-10000*H113)/1000)</f>
        <v>4</v>
      </c>
      <c r="J113" s="23">
        <f>INT(($E113-100000*$G113-10000*$H113-1000*$I113)/100)</f>
        <v>1</v>
      </c>
      <c r="K113" s="23">
        <f>INT(($E113-100000*$G113-10000*$H113-1000*$I113-100*$J113)/10)</f>
        <v>8</v>
      </c>
      <c r="L113" s="23">
        <f>INT(($E113-100000*$G113-10000*$H113-1000*$I113-100*$J113-10*$K113))</f>
        <v>1</v>
      </c>
      <c r="M113" s="24">
        <v>2</v>
      </c>
      <c r="N113" s="12" t="s">
        <v>454</v>
      </c>
      <c r="O113" s="26">
        <f>65+K113+10*LOG10(70+L113)+10*LOG10(100/(100+J113*20))</f>
        <v>90.720771026714502</v>
      </c>
      <c r="P113" s="24">
        <f>IF(N113="",0,IF(EXACT(RIGHT(N113,5),"dB(A)"),IF(ABS(VALUE(LEFT(N113,FIND(" ",N113,1)))-O113)&lt;=0.5,1,-1),-1))</f>
        <v>1</v>
      </c>
      <c r="Q113" s="12" t="s">
        <v>455</v>
      </c>
      <c r="R113" s="26">
        <f>10*LOG10(10^((80+G113)/10)*(10+L113)*1000/16/3600+10^((85+H113)/10)*(10+K113)*3000/16/3600+10^((90+J113)/10)*(10+J113)*100/16/3600)</f>
        <v>89.964280605993878</v>
      </c>
      <c r="S113" s="24">
        <f>IF(Q113="",0,IF(EXACT(RIGHT(Q113,5),"dB(A)"),IF(ABS(VALUE(LEFT(Q113,FIND(" ",Q113,1)))-R113)&lt;=0.5,1,-1),-1))</f>
        <v>1</v>
      </c>
      <c r="T113" s="45" t="s">
        <v>456</v>
      </c>
      <c r="U113" s="30">
        <f>4*(500+K113*10+L113)/(400+J113*10)/340*SQRT(8192/4/0.1)</f>
        <v>2.3858235774849978</v>
      </c>
      <c r="V113" s="24">
        <f>IF(T113="",0,IF(EXACT(RIGHT(T113,2)," s"),IF(ABS(VALUE(LEFT(T113,FIND(" ",T113,1)))-U113)&lt;=0.005,1,-1),-1))</f>
        <v>-1</v>
      </c>
      <c r="W113" s="12">
        <v>512</v>
      </c>
      <c r="X113" s="36">
        <f>8*2^(5+L113)</f>
        <v>512</v>
      </c>
      <c r="Y113" s="24">
        <f>IF(W113="",0,IF(ABS(W113-X113)&lt;=1,1,-1))</f>
        <v>1</v>
      </c>
      <c r="Z113" s="12" t="s">
        <v>457</v>
      </c>
      <c r="AA113" s="26">
        <f>10*LOG10(10^((60+L113-39.4)/10)+10^((63+L113-26.2)/10)+10^((66+L113-16.1)/10)+10^((69+L113-8.6)/10)+10^((72+L113-3.2)/10)+10^((75+L113)/10)+10^((78+L113+1.2)/10)+10^((81+L113+1)/10)+10^((84+L113-1.1)/10)+10^((87+L113-6.6)/10))</f>
        <v>88.684202566927453</v>
      </c>
      <c r="AB113" s="24">
        <f>IF(Z113="",0,IF(EXACT(RIGHT(Z113,5),"dB(A)"),IF(ABS(VALUE(LEFT(Z113,FIND(" ",Z113,1)))-AA113)&lt;=0.2,1,-1),-1))</f>
        <v>1</v>
      </c>
      <c r="AC113" s="12" t="s">
        <v>458</v>
      </c>
      <c r="AD113" s="26">
        <f>10*LOG10((10^((60+L113)/10)*(1+J113)+10^((65+K113)/10)*(2+I113/3))/(1+J113+2+I113/3))</f>
        <v>71.120177205840406</v>
      </c>
      <c r="AE113" s="24">
        <f>IF(AC113="",0,IF(EXACT(RIGHT(AC113,5),"dB(A)"),IF(ABS(VALUE(LEFT(AC113,FIND(" ",AC113,1)))-AD113)&lt;=0.5,1,-1),-1))</f>
        <v>1</v>
      </c>
      <c r="AF113" s="12" t="s">
        <v>459</v>
      </c>
      <c r="AG113" s="26">
        <f>90+K113+10*LOG10(4/(0.16*(300+J113*20)/(1+L113/10)))+3</f>
        <v>90.341827155103573</v>
      </c>
      <c r="AH113" s="24">
        <f>IF(AF113="",0,IF(EXACT(RIGHT(AF113,2),"dB"),IF(ABS(VALUE(LEFT(AF113,FIND(" ",AF113,1)))-AG113)&lt;=0.5,1,-1),-1))</f>
        <v>1</v>
      </c>
      <c r="AI113" s="43"/>
      <c r="AJ113" s="26">
        <f>10*LOG10(3+40*(2*SQRT(((10+K113)/2)^2+(3+L113/10)^2)-(10+K113))*100*(1+J113)/340)</f>
        <v>14.380700674521773</v>
      </c>
      <c r="AK113" s="24">
        <f>IF(AI113="",0,IF(EXACT(RIGHT(AI113,2),"dB"),IF(ABS(VALUE(LEFT(AI113,FIND(" ",AI113,1)))-AJ113)&lt;=0.5,1,-1),-1))</f>
        <v>0</v>
      </c>
      <c r="AL113" s="12" t="s">
        <v>460</v>
      </c>
      <c r="AM113" s="26">
        <f>80+L113-(80+K113)</f>
        <v>-7</v>
      </c>
      <c r="AN113" s="24">
        <f>IF(AL113="",0,IF(EXACT(RIGHT(AL113,2),"dB"),IF(ABS(VALUE(LEFT(AL113,FIND(" ",AL113,1)))-AM113)&lt;=0.5,1,-1),-1))</f>
        <v>1</v>
      </c>
      <c r="AO113" s="12" t="s">
        <v>461</v>
      </c>
      <c r="AP113" s="30">
        <f>((2^(5+L113))/2+1)/48</f>
        <v>0.6875</v>
      </c>
      <c r="AQ113" s="24">
        <f>IF(AO113="",0,IF(EXACT(RIGHT(AO113,2),"ms"),IF(ABS(VALUE(LEFT(AO113,FIND(" ",AO113,1)))-AP113)/AP113&lt;=0.02,1,-1),-1))</f>
        <v>-1</v>
      </c>
      <c r="AR113" s="39">
        <f>M113+P113+S113+V113+Y113+AB113+AE113+AH113+AK113+AN113+AQ113</f>
        <v>7</v>
      </c>
    </row>
    <row r="114" spans="1:44" ht="13.2">
      <c r="A114" s="41">
        <v>112</v>
      </c>
      <c r="B114" s="42">
        <v>41992.763806273149</v>
      </c>
      <c r="C114" s="12" t="s">
        <v>571</v>
      </c>
      <c r="D114" s="12" t="s">
        <v>572</v>
      </c>
      <c r="E114" s="12">
        <v>243616</v>
      </c>
      <c r="F114" s="23">
        <v>1</v>
      </c>
      <c r="G114" s="23">
        <f>INT(E114/100000)</f>
        <v>2</v>
      </c>
      <c r="H114" s="23">
        <f>INT(($E114-100000*G114)/10000)</f>
        <v>4</v>
      </c>
      <c r="I114" s="23">
        <f>INT(($E114-100000*G114-10000*H114)/1000)</f>
        <v>3</v>
      </c>
      <c r="J114" s="23">
        <f>INT(($E114-100000*$G114-10000*$H114-1000*$I114)/100)</f>
        <v>6</v>
      </c>
      <c r="K114" s="23">
        <f>INT(($E114-100000*$G114-10000*$H114-1000*$I114-100*$J114)/10)</f>
        <v>1</v>
      </c>
      <c r="L114" s="23">
        <f>INT(($E114-100000*$G114-10000*$H114-1000*$I114-100*$J114-10*$K114))</f>
        <v>6</v>
      </c>
      <c r="M114" s="24">
        <v>2</v>
      </c>
      <c r="N114" s="12" t="s">
        <v>573</v>
      </c>
      <c r="O114" s="26">
        <f>65+K114+10*LOG10(70+L114)+10*LOG10(100/(100+J114*20))</f>
        <v>81.383909114585848</v>
      </c>
      <c r="P114" s="24">
        <f>IF(N114="",0,IF(EXACT(RIGHT(N114,5),"dB(A)"),IF(ABS(VALUE(LEFT(N114,FIND(" ",N114,1)))-O114)&lt;=0.5,1,-1),-1))</f>
        <v>1</v>
      </c>
      <c r="Q114" s="12" t="s">
        <v>574</v>
      </c>
      <c r="R114" s="26">
        <f>10*LOG10(10^((80+G114)/10)*(10+L114)*1000/16/3600+10^((85+H114)/10)*(10+K114)*3000/16/3600+10^((90+J114)/10)*(10+J114)*100/16/3600)</f>
        <v>87.851119357758989</v>
      </c>
      <c r="S114" s="24">
        <f>IF(Q114="",0,IF(EXACT(RIGHT(Q114,5),"dB(A)"),IF(ABS(VALUE(LEFT(Q114,FIND(" ",Q114,1)))-R114)&lt;=0.5,1,-1),-1))</f>
        <v>-1</v>
      </c>
      <c r="T114" s="12" t="s">
        <v>575</v>
      </c>
      <c r="U114" s="30">
        <f>4*(500+K114*10+L114)/(400+J114*10)/340*SQRT(8192/4/0.1)</f>
        <v>1.8885910201778275</v>
      </c>
      <c r="V114" s="24">
        <f>IF(T114="",0,IF(EXACT(RIGHT(T114,2)," s"),IF(ABS(VALUE(LEFT(T114,FIND(" ",T114,1)))-U114)&lt;=0.005,1,-1),-1))</f>
        <v>1</v>
      </c>
      <c r="W114" s="12">
        <v>16384</v>
      </c>
      <c r="X114" s="36">
        <f>8*2^(5+L114)</f>
        <v>16384</v>
      </c>
      <c r="Y114" s="24">
        <f>IF(W114="",0,IF(ABS(W114-X114)&lt;=1,1,-1))</f>
        <v>1</v>
      </c>
      <c r="Z114" s="43"/>
      <c r="AA114" s="26">
        <f>10*LOG10(10^((60+L114-39.4)/10)+10^((63+L114-26.2)/10)+10^((66+L114-16.1)/10)+10^((69+L114-8.6)/10)+10^((72+L114-3.2)/10)+10^((75+L114)/10)+10^((78+L114+1.2)/10)+10^((81+L114+1)/10)+10^((84+L114-1.1)/10)+10^((87+L114-6.6)/10))</f>
        <v>93.684202566927453</v>
      </c>
      <c r="AB114" s="24">
        <f>IF(Z114="",0,IF(EXACT(RIGHT(Z114,5),"dB(A)"),IF(ABS(VALUE(LEFT(Z114,FIND(" ",Z114,1)))-AA114)&lt;=0.2,1,-1),-1))</f>
        <v>0</v>
      </c>
      <c r="AC114" s="12" t="s">
        <v>576</v>
      </c>
      <c r="AD114" s="26">
        <f>10*LOG10((10^((60+L114)/10)*(1+J114)+10^((65+K114)/10)*(2+I114/3))/(1+J114+2+I114/3))</f>
        <v>66</v>
      </c>
      <c r="AE114" s="24">
        <f>IF(AC114="",0,IF(EXACT(RIGHT(AC114,5),"dB(A)"),IF(ABS(VALUE(LEFT(AC114,FIND(" ",AC114,1)))-AD114)&lt;=0.5,1,-1),-1))</f>
        <v>1</v>
      </c>
      <c r="AF114" s="12" t="s">
        <v>577</v>
      </c>
      <c r="AG114" s="26">
        <f>90+K114+10*LOG10(4/(0.16*(300+J114*20)/(1+L114/10)))+3</f>
        <v>83.788107009300617</v>
      </c>
      <c r="AH114" s="24">
        <f>IF(AF114="",0,IF(EXACT(RIGHT(AF114,2),"dB"),IF(ABS(VALUE(LEFT(AF114,FIND(" ",AF114,1)))-AG114)&lt;=0.5,1,-1),-1))</f>
        <v>1</v>
      </c>
      <c r="AI114" s="12" t="s">
        <v>578</v>
      </c>
      <c r="AJ114" s="26">
        <f>10*LOG10(3+40*(2*SQRT(((10+K114)/2)^2+(3+L114/10)^2)-(10+K114))*100*(1+J114)/340)</f>
        <v>22.547908014905897</v>
      </c>
      <c r="AK114" s="24">
        <f>IF(AI114="",0,IF(EXACT(RIGHT(AI114,2),"dB"),IF(ABS(VALUE(LEFT(AI114,FIND(" ",AI114,1)))-AJ114)&lt;=0.5,1,-1),-1))</f>
        <v>-1</v>
      </c>
      <c r="AL114" s="12" t="s">
        <v>579</v>
      </c>
      <c r="AM114" s="26">
        <f>80+L114-(80+K114)</f>
        <v>5</v>
      </c>
      <c r="AN114" s="24">
        <f>IF(AL114="",0,IF(EXACT(RIGHT(AL114,2),"dB"),IF(ABS(VALUE(LEFT(AL114,FIND(" ",AL114,1)))-AM114)&lt;=0.5,1,-1),-1))</f>
        <v>1</v>
      </c>
      <c r="AO114" s="12" t="s">
        <v>580</v>
      </c>
      <c r="AP114" s="30">
        <f>((2^(5+L114))/2+1)/48</f>
        <v>21.354166666666668</v>
      </c>
      <c r="AQ114" s="24">
        <f>IF(AO114="",0,IF(EXACT(RIGHT(AO114,2),"ms"),IF(ABS(VALUE(LEFT(AO114,FIND(" ",AO114,1)))-AP114)/AP114&lt;=0.02,1,-1),-1))</f>
        <v>1</v>
      </c>
      <c r="AR114" s="39">
        <f>M114+P114+S114+V114+Y114+AB114+AE114+AH114+AK114+AN114+AQ114</f>
        <v>7</v>
      </c>
    </row>
    <row r="115" spans="1:44" ht="13.2">
      <c r="A115" s="41">
        <v>113</v>
      </c>
      <c r="B115" s="42">
        <v>41992.764326099539</v>
      </c>
      <c r="C115" s="12" t="s">
        <v>634</v>
      </c>
      <c r="D115" s="12" t="s">
        <v>635</v>
      </c>
      <c r="E115" s="12">
        <v>241009</v>
      </c>
      <c r="F115" s="23">
        <v>1</v>
      </c>
      <c r="G115" s="23">
        <f>INT(E115/100000)</f>
        <v>2</v>
      </c>
      <c r="H115" s="23">
        <f>INT(($E115-100000*G115)/10000)</f>
        <v>4</v>
      </c>
      <c r="I115" s="23">
        <f>INT(($E115-100000*G115-10000*H115)/1000)</f>
        <v>1</v>
      </c>
      <c r="J115" s="23">
        <f>INT(($E115-100000*$G115-10000*$H115-1000*$I115)/100)</f>
        <v>0</v>
      </c>
      <c r="K115" s="23">
        <f>INT(($E115-100000*$G115-10000*$H115-1000*$I115-100*$J115)/10)</f>
        <v>0</v>
      </c>
      <c r="L115" s="23">
        <f>INT(($E115-100000*$G115-10000*$H115-1000*$I115-100*$J115-10*$K115))</f>
        <v>9</v>
      </c>
      <c r="M115" s="24">
        <v>2</v>
      </c>
      <c r="N115" s="12" t="s">
        <v>636</v>
      </c>
      <c r="O115" s="26">
        <f>65+K115+10*LOG10(70+L115)+10*LOG10(100/(100+J115*20))</f>
        <v>83.976270912904411</v>
      </c>
      <c r="P115" s="24">
        <f>IF(N115="",0,IF(EXACT(RIGHT(N115,5),"dB(A)"),IF(ABS(VALUE(LEFT(N115,FIND(" ",N115,1)))-O115)&lt;=0.5,1,-1),-1))</f>
        <v>1</v>
      </c>
      <c r="Q115" s="44" t="s">
        <v>637</v>
      </c>
      <c r="R115" s="26">
        <f>10*LOG10(10^((80+G115)/10)*(10+L115)*1000/16/3600+10^((85+H115)/10)*(10+K115)*3000/16/3600+10^((90+J115)/10)*(10+J115)*100/16/3600)</f>
        <v>86.842645948329476</v>
      </c>
      <c r="S115" s="24">
        <f>IF(Q115="",0,IF(EXACT(RIGHT(Q115,5),"dB(A)"),IF(ABS(VALUE(LEFT(Q115,FIND(" ",Q115,1)))-R115)&lt;=0.5,1,-1),-1))</f>
        <v>-1</v>
      </c>
      <c r="T115" s="12" t="s">
        <v>638</v>
      </c>
      <c r="U115" s="30">
        <f>4*(500+K115*10+L115)/(400+J115*10)/340*SQRT(8192/4/0.1)</f>
        <v>2.1424161892656808</v>
      </c>
      <c r="V115" s="24">
        <f>IF(T115="",0,IF(EXACT(RIGHT(T115,2)," s"),IF(ABS(VALUE(LEFT(T115,FIND(" ",T115,1)))-U115)&lt;=0.005,1,-1),-1))</f>
        <v>1</v>
      </c>
      <c r="W115" s="12">
        <v>131072</v>
      </c>
      <c r="X115" s="36">
        <f>8*2^(5+L115)</f>
        <v>131072</v>
      </c>
      <c r="Y115" s="24">
        <f>IF(W115="",0,IF(ABS(W115-X115)&lt;=1,1,-1))</f>
        <v>1</v>
      </c>
      <c r="Z115" s="43"/>
      <c r="AA115" s="26">
        <f>10*LOG10(10^((60+L115-39.4)/10)+10^((63+L115-26.2)/10)+10^((66+L115-16.1)/10)+10^((69+L115-8.6)/10)+10^((72+L115-3.2)/10)+10^((75+L115)/10)+10^((78+L115+1.2)/10)+10^((81+L115+1)/10)+10^((84+L115-1.1)/10)+10^((87+L115-6.6)/10))</f>
        <v>96.684202566927439</v>
      </c>
      <c r="AB115" s="24">
        <f>IF(Z115="",0,IF(EXACT(RIGHT(Z115,5),"dB(A)"),IF(ABS(VALUE(LEFT(Z115,FIND(" ",Z115,1)))-AA115)&lt;=0.2,1,-1),-1))</f>
        <v>0</v>
      </c>
      <c r="AC115" s="44" t="s">
        <v>639</v>
      </c>
      <c r="AD115" s="26">
        <f>10*LOG10((10^((60+L115)/10)*(1+J115)+10^((65+K115)/10)*(2+I115/3))/(1+J115+2+I115/3))</f>
        <v>66.624347348668323</v>
      </c>
      <c r="AE115" s="24">
        <f>IF(AC115="",0,IF(EXACT(RIGHT(AC115,5),"dB(A)"),IF(ABS(VALUE(LEFT(AC115,FIND(" ",AC115,1)))-AD115)&lt;=0.5,1,-1),-1))</f>
        <v>-1</v>
      </c>
      <c r="AF115" s="12" t="s">
        <v>640</v>
      </c>
      <c r="AG115" s="26">
        <f>90+K115+10*LOG10(4/(0.16*(300+J115*20)/(1+L115/10)))+3</f>
        <v>84.995723549052045</v>
      </c>
      <c r="AH115" s="24">
        <f>IF(AF115="",0,IF(EXACT(RIGHT(AF115,2),"dB"),IF(ABS(VALUE(LEFT(AF115,FIND(" ",AF115,1)))-AG115)&lt;=0.5,1,-1),-1))</f>
        <v>1</v>
      </c>
      <c r="AI115" s="12" t="s">
        <v>641</v>
      </c>
      <c r="AJ115" s="26">
        <f>10*LOG10(3+40*(2*SQRT(((10+K115)/2)^2+(3+L115/10)^2)-(10+K115))*100*(1+J115)/340)</f>
        <v>15.385251050624014</v>
      </c>
      <c r="AK115" s="24">
        <f>IF(AI115="",0,IF(EXACT(RIGHT(AI115,2),"dB"),IF(ABS(VALUE(LEFT(AI115,FIND(" ",AI115,1)))-AJ115)&lt;=0.5,1,-1),-1))</f>
        <v>1</v>
      </c>
      <c r="AL115" s="12" t="s">
        <v>642</v>
      </c>
      <c r="AM115" s="26">
        <f>80+L115-(80+K115)</f>
        <v>9</v>
      </c>
      <c r="AN115" s="24">
        <f>IF(AL115="",0,IF(EXACT(RIGHT(AL115,2),"dB"),IF(ABS(VALUE(LEFT(AL115,FIND(" ",AL115,1)))-AM115)&lt;=0.5,1,-1),-1))</f>
        <v>1</v>
      </c>
      <c r="AO115" s="12" t="s">
        <v>643</v>
      </c>
      <c r="AP115" s="30">
        <f>((2^(5+L115))/2+1)/48</f>
        <v>170.6875</v>
      </c>
      <c r="AQ115" s="24">
        <f>IF(AO115="",0,IF(EXACT(RIGHT(AO115,2),"ms"),IF(ABS(VALUE(LEFT(AO115,FIND(" ",AO115,1)))-AP115)/AP115&lt;=0.02,1,-1),-1))</f>
        <v>1</v>
      </c>
      <c r="AR115" s="39">
        <f>M115+P115+S115+V115+Y115+AB115+AE115+AH115+AK115+AN115+AQ115</f>
        <v>7</v>
      </c>
    </row>
    <row r="116" spans="1:44" ht="13.2">
      <c r="A116" s="41">
        <v>114</v>
      </c>
      <c r="B116" s="42">
        <v>41992.764432488424</v>
      </c>
      <c r="C116" s="12" t="s">
        <v>644</v>
      </c>
      <c r="D116" s="12" t="s">
        <v>645</v>
      </c>
      <c r="E116" s="12">
        <v>239679</v>
      </c>
      <c r="F116" s="23">
        <v>1</v>
      </c>
      <c r="G116" s="23">
        <f>INT(E116/100000)</f>
        <v>2</v>
      </c>
      <c r="H116" s="23">
        <f>INT(($E116-100000*G116)/10000)</f>
        <v>3</v>
      </c>
      <c r="I116" s="23">
        <f>INT(($E116-100000*G116-10000*H116)/1000)</f>
        <v>9</v>
      </c>
      <c r="J116" s="23">
        <f>INT(($E116-100000*$G116-10000*$H116-1000*$I116)/100)</f>
        <v>6</v>
      </c>
      <c r="K116" s="23">
        <f>INT(($E116-100000*$G116-10000*$H116-1000*$I116-100*$J116)/10)</f>
        <v>7</v>
      </c>
      <c r="L116" s="23">
        <f>INT(($E116-100000*$G116-10000*$H116-1000*$I116-100*$J116-10*$K116))</f>
        <v>9</v>
      </c>
      <c r="M116" s="24">
        <v>2</v>
      </c>
      <c r="N116" s="12" t="s">
        <v>646</v>
      </c>
      <c r="O116" s="26">
        <f>65+K116+10*LOG10(70+L116)+10*LOG10(100/(100+J116*20))</f>
        <v>87.552044104682352</v>
      </c>
      <c r="P116" s="24">
        <f>IF(N116="",0,IF(EXACT(RIGHT(N116,5),"dB(A)"),IF(ABS(VALUE(LEFT(N116,FIND(" ",N116,1)))-O116)&lt;=0.5,1,-1),-1))</f>
        <v>1</v>
      </c>
      <c r="Q116" s="44" t="s">
        <v>647</v>
      </c>
      <c r="R116" s="26">
        <f>10*LOG10(10^((80+G116)/10)*(10+L116)*1000/16/3600+10^((85+H116)/10)*(10+K116)*3000/16/3600+10^((90+J116)/10)*(10+J116)*100/16/3600)</f>
        <v>88.582513454817445</v>
      </c>
      <c r="S116" s="24">
        <f>IF(Q116="",0,IF(EXACT(RIGHT(Q116,5),"dB(A)"),IF(ABS(VALUE(LEFT(Q116,FIND(" ",Q116,1)))-R116)&lt;=0.5,1,-1),-1))</f>
        <v>-1</v>
      </c>
      <c r="T116" s="12" t="s">
        <v>648</v>
      </c>
      <c r="U116" s="30">
        <f>4*(500+K116*10+L116)/(400+J116*10)/340*SQRT(8192/4/0.1)</f>
        <v>2.1191748075251202</v>
      </c>
      <c r="V116" s="24">
        <f>IF(T116="",0,IF(EXACT(RIGHT(T116,2)," s"),IF(ABS(VALUE(LEFT(T116,FIND(" ",T116,1)))-U116)&lt;=0.005,1,-1),-1))</f>
        <v>1</v>
      </c>
      <c r="W116" s="12">
        <v>131072</v>
      </c>
      <c r="X116" s="36">
        <f>8*2^(5+L116)</f>
        <v>131072</v>
      </c>
      <c r="Y116" s="24">
        <f>IF(W116="",0,IF(ABS(W116-X116)&lt;=1,1,-1))</f>
        <v>1</v>
      </c>
      <c r="Z116" s="43"/>
      <c r="AA116" s="26">
        <f>10*LOG10(10^((60+L116-39.4)/10)+10^((63+L116-26.2)/10)+10^((66+L116-16.1)/10)+10^((69+L116-8.6)/10)+10^((72+L116-3.2)/10)+10^((75+L116)/10)+10^((78+L116+1.2)/10)+10^((81+L116+1)/10)+10^((84+L116-1.1)/10)+10^((87+L116-6.6)/10))</f>
        <v>96.684202566927439</v>
      </c>
      <c r="AB116" s="24">
        <f>IF(Z116="",0,IF(EXACT(RIGHT(Z116,5),"dB(A)"),IF(ABS(VALUE(LEFT(Z116,FIND(" ",Z116,1)))-AA116)&lt;=0.2,1,-1),-1))</f>
        <v>0</v>
      </c>
      <c r="AC116" s="44" t="s">
        <v>649</v>
      </c>
      <c r="AD116" s="26">
        <f>10*LOG10((10^((60+L116)/10)*(1+J116)+10^((65+K116)/10)*(2+I116/3))/(1+J116+2+I116/3))</f>
        <v>70.506620914093745</v>
      </c>
      <c r="AE116" s="24">
        <f>IF(AC116="",0,IF(EXACT(RIGHT(AC116,5),"dB(A)"),IF(ABS(VALUE(LEFT(AC116,FIND(" ",AC116,1)))-AD116)&lt;=0.5,1,-1),-1))</f>
        <v>-1</v>
      </c>
      <c r="AF116" s="12" t="s">
        <v>650</v>
      </c>
      <c r="AG116" s="26">
        <f>90+K116+10*LOG10(4/(0.16*(300+J116*20)/(1+L116/10)))+3</f>
        <v>90.534443192269663</v>
      </c>
      <c r="AH116" s="24">
        <f>IF(AF116="",0,IF(EXACT(RIGHT(AF116,2),"dB"),IF(ABS(VALUE(LEFT(AF116,FIND(" ",AF116,1)))-AG116)&lt;=0.5,1,-1),-1))</f>
        <v>1</v>
      </c>
      <c r="AI116" s="12" t="s">
        <v>651</v>
      </c>
      <c r="AJ116" s="26">
        <f>10*LOG10(3+40*(2*SQRT(((10+K116)/2)^2+(3+L116/10)^2)-(10+K116))*100*(1+J116)/340)</f>
        <v>21.563378799899912</v>
      </c>
      <c r="AK116" s="24">
        <f>IF(AI116="",0,IF(EXACT(RIGHT(AI116,2),"dB"),IF(ABS(VALUE(LEFT(AI116,FIND(" ",AI116,1)))-AJ116)&lt;=0.5,1,-1),-1))</f>
        <v>1</v>
      </c>
      <c r="AL116" s="12" t="s">
        <v>652</v>
      </c>
      <c r="AM116" s="26">
        <f>80+L116-(80+K116)</f>
        <v>2</v>
      </c>
      <c r="AN116" s="24">
        <f>IF(AL116="",0,IF(EXACT(RIGHT(AL116,2),"dB"),IF(ABS(VALUE(LEFT(AL116,FIND(" ",AL116,1)))-AM116)&lt;=0.5,1,-1),-1))</f>
        <v>1</v>
      </c>
      <c r="AO116" s="12" t="s">
        <v>653</v>
      </c>
      <c r="AP116" s="30">
        <f>((2^(5+L116))/2+1)/48</f>
        <v>170.6875</v>
      </c>
      <c r="AQ116" s="24">
        <f>IF(AO116="",0,IF(EXACT(RIGHT(AO116,2),"ms"),IF(ABS(VALUE(LEFT(AO116,FIND(" ",AO116,1)))-AP116)/AP116&lt;=0.02,1,-1),-1))</f>
        <v>1</v>
      </c>
      <c r="AR116" s="39">
        <f>M116+P116+S116+V116+Y116+AB116+AE116+AH116+AK116+AN116+AQ116</f>
        <v>7</v>
      </c>
    </row>
    <row r="117" spans="1:44" ht="13.2">
      <c r="A117" s="41">
        <v>115</v>
      </c>
      <c r="B117" s="42">
        <v>41992.764739143524</v>
      </c>
      <c r="C117" s="12" t="s">
        <v>686</v>
      </c>
      <c r="D117" s="12" t="s">
        <v>687</v>
      </c>
      <c r="E117" s="12">
        <v>254950</v>
      </c>
      <c r="F117" s="23">
        <v>1</v>
      </c>
      <c r="G117" s="23">
        <f>INT(E117/100000)</f>
        <v>2</v>
      </c>
      <c r="H117" s="23">
        <f>INT(($E117-100000*G117)/10000)</f>
        <v>5</v>
      </c>
      <c r="I117" s="23">
        <f>INT(($E117-100000*G117-10000*H117)/1000)</f>
        <v>4</v>
      </c>
      <c r="J117" s="23">
        <f>INT(($E117-100000*$G117-10000*$H117-1000*$I117)/100)</f>
        <v>9</v>
      </c>
      <c r="K117" s="23">
        <f>INT(($E117-100000*$G117-10000*$H117-1000*$I117-100*$J117)/10)</f>
        <v>5</v>
      </c>
      <c r="L117" s="23">
        <f>INT(($E117-100000*$G117-10000*$H117-1000*$I117-100*$J117-10*$K117))</f>
        <v>0</v>
      </c>
      <c r="M117" s="24">
        <v>2</v>
      </c>
      <c r="N117" s="12" t="s">
        <v>688</v>
      </c>
      <c r="O117" s="26">
        <f>65+K117+10*LOG10(70+L117)+10*LOG10(100/(100+J117*20))</f>
        <v>83.979400086720375</v>
      </c>
      <c r="P117" s="24">
        <f>IF(N117="",0,IF(EXACT(RIGHT(N117,5),"dB(A)"),IF(ABS(VALUE(LEFT(N117,FIND(" ",N117,1)))-O117)&lt;=0.5,1,-1),-1))</f>
        <v>1</v>
      </c>
      <c r="Q117" s="12" t="s">
        <v>689</v>
      </c>
      <c r="R117" s="26">
        <f>10*LOG10(10^((80+G117)/10)*(10+L117)*1000/16/3600+10^((85+H117)/10)*(10+K117)*3000/16/3600+10^((90+J117)/10)*(10+J117)*100/16/3600)</f>
        <v>90.297016707700251</v>
      </c>
      <c r="S117" s="24">
        <f>IF(Q117="",0,IF(EXACT(RIGHT(Q117,5),"dB(A)"),IF(ABS(VALUE(LEFT(Q117,FIND(" ",Q117,1)))-R117)&lt;=0.5,1,-1),-1))</f>
        <v>1</v>
      </c>
      <c r="T117" s="45" t="s">
        <v>690</v>
      </c>
      <c r="U117" s="30">
        <f>4*(500+K117*10+L117)/(400+J117*10)/340*SQRT(8192/4/0.1)</f>
        <v>1.8897861418485615</v>
      </c>
      <c r="V117" s="24">
        <f>IF(T117="",0,IF(EXACT(RIGHT(T117,2)," s"),IF(ABS(VALUE(LEFT(T117,FIND(" ",T117,1)))-U117)&lt;=0.005,1,-1),-1))</f>
        <v>-1</v>
      </c>
      <c r="W117" s="12">
        <v>256</v>
      </c>
      <c r="X117" s="36">
        <f>8*2^(5+L117)</f>
        <v>256</v>
      </c>
      <c r="Y117" s="24">
        <f>IF(W117="",0,IF(ABS(W117-X117)&lt;=1,1,-1))</f>
        <v>1</v>
      </c>
      <c r="Z117" s="12" t="s">
        <v>691</v>
      </c>
      <c r="AA117" s="26">
        <f>10*LOG10(10^((60+L117-39.4)/10)+10^((63+L117-26.2)/10)+10^((66+L117-16.1)/10)+10^((69+L117-8.6)/10)+10^((72+L117-3.2)/10)+10^((75+L117)/10)+10^((78+L117+1.2)/10)+10^((81+L117+1)/10)+10^((84+L117-1.1)/10)+10^((87+L117-6.6)/10))</f>
        <v>87.684202566927468</v>
      </c>
      <c r="AB117" s="24">
        <f>IF(Z117="",0,IF(EXACT(RIGHT(Z117,5),"dB(A)"),IF(ABS(VALUE(LEFT(Z117,FIND(" ",Z117,1)))-AA117)&lt;=0.2,1,-1),-1))</f>
        <v>1</v>
      </c>
      <c r="AC117" s="12" t="s">
        <v>692</v>
      </c>
      <c r="AD117" s="26">
        <f>10*LOG10((10^((60+L117)/10)*(1+J117)+10^((65+K117)/10)*(2+I117/3))/(1+J117+2+I117/3))</f>
        <v>65.118833609788737</v>
      </c>
      <c r="AE117" s="24">
        <f>IF(AC117="",0,IF(EXACT(RIGHT(AC117,5),"dB(A)"),IF(ABS(VALUE(LEFT(AC117,FIND(" ",AC117,1)))-AD117)&lt;=0.5,1,-1),-1))</f>
        <v>1</v>
      </c>
      <c r="AF117" s="12" t="s">
        <v>693</v>
      </c>
      <c r="AG117" s="26">
        <f>90+K117+10*LOG10(4/(0.16*(300+J117*20)/(1+L117/10)))+3</f>
        <v>85.166987712964499</v>
      </c>
      <c r="AH117" s="24">
        <f>IF(AF117="",0,IF(EXACT(RIGHT(AF117,2),"dB"),IF(ABS(VALUE(LEFT(AF117,FIND(" ",AF117,1)))-AG117)&lt;=0.5,1,-1),-1))</f>
        <v>1</v>
      </c>
      <c r="AI117" s="43"/>
      <c r="AJ117" s="26">
        <f>10*LOG10(3+40*(2*SQRT(((10+K117)/2)^2+(3+L117/10)^2)-(10+K117))*100*(1+J117)/340)</f>
        <v>21.428289204518094</v>
      </c>
      <c r="AK117" s="24">
        <f>IF(AI117="",0,IF(EXACT(RIGHT(AI117,2),"dB"),IF(ABS(VALUE(LEFT(AI117,FIND(" ",AI117,1)))-AJ117)&lt;=0.5,1,-1),-1))</f>
        <v>0</v>
      </c>
      <c r="AL117" s="12" t="s">
        <v>694</v>
      </c>
      <c r="AM117" s="26">
        <f>80+L117-(80+K117)</f>
        <v>-5</v>
      </c>
      <c r="AN117" s="24">
        <f>IF(AL117="",0,IF(EXACT(RIGHT(AL117,2),"dB"),IF(ABS(VALUE(LEFT(AL117,FIND(" ",AL117,1)))-AM117)&lt;=0.5,1,-1),-1))</f>
        <v>1</v>
      </c>
      <c r="AO117" s="12" t="s">
        <v>695</v>
      </c>
      <c r="AP117" s="30">
        <f>((2^(5+L117))/2+1)/48</f>
        <v>0.35416666666666669</v>
      </c>
      <c r="AQ117" s="24">
        <f>IF(AO117="",0,IF(EXACT(RIGHT(AO117,2),"ms"),IF(ABS(VALUE(LEFT(AO117,FIND(" ",AO117,1)))-AP117)/AP117&lt;=0.02,1,-1),-1))</f>
        <v>-1</v>
      </c>
      <c r="AR117" s="39">
        <f>M117+P117+S117+V117+Y117+AB117+AE117+AH117+AK117+AN117+AQ117</f>
        <v>7</v>
      </c>
    </row>
    <row r="118" spans="1:44" ht="13.2">
      <c r="A118" s="41">
        <v>116</v>
      </c>
      <c r="B118" s="42">
        <v>41992.766733310185</v>
      </c>
      <c r="C118" s="12" t="s">
        <v>1047</v>
      </c>
      <c r="D118" s="12" t="s">
        <v>1048</v>
      </c>
      <c r="E118" s="12">
        <v>240599</v>
      </c>
      <c r="F118" s="23">
        <v>1</v>
      </c>
      <c r="G118" s="23">
        <f>INT(E118/100000)</f>
        <v>2</v>
      </c>
      <c r="H118" s="23">
        <f>INT(($E118-100000*G118)/10000)</f>
        <v>4</v>
      </c>
      <c r="I118" s="23">
        <f>INT(($E118-100000*G118-10000*H118)/1000)</f>
        <v>0</v>
      </c>
      <c r="J118" s="23">
        <f>INT(($E118-100000*$G118-10000*$H118-1000*$I118)/100)</f>
        <v>5</v>
      </c>
      <c r="K118" s="23">
        <f>INT(($E118-100000*$G118-10000*$H118-1000*$I118-100*$J118)/10)</f>
        <v>9</v>
      </c>
      <c r="L118" s="23">
        <f>INT(($E118-100000*$G118-10000*$H118-1000*$I118-100*$J118-10*$K118))</f>
        <v>9</v>
      </c>
      <c r="M118" s="24">
        <v>2</v>
      </c>
      <c r="N118" s="12" t="s">
        <v>1049</v>
      </c>
      <c r="O118" s="26">
        <f>65+K118+10*LOG10(70+L118)+10*LOG10(100/(100+J118*20))</f>
        <v>89.965970956264599</v>
      </c>
      <c r="P118" s="24">
        <f>IF(N118="",0,IF(EXACT(RIGHT(N118,5),"dB(A)"),IF(ABS(VALUE(LEFT(N118,FIND(" ",N118,1)))-O118)&lt;=0.5,1,-1),-1))</f>
        <v>1</v>
      </c>
      <c r="Q118" s="44" t="s">
        <v>1050</v>
      </c>
      <c r="R118" s="26">
        <f>10*LOG10(10^((80+G118)/10)*(10+L118)*1000/16/3600+10^((85+H118)/10)*(10+K118)*3000/16/3600+10^((90+J118)/10)*(10+J118)*100/16/3600)</f>
        <v>89.641107968090651</v>
      </c>
      <c r="S118" s="24">
        <f>IF(Q118="",0,IF(EXACT(RIGHT(Q118,5),"dB(A)"),IF(ABS(VALUE(LEFT(Q118,FIND(" ",Q118,1)))-R118)&lt;=0.5,1,-1),-1))</f>
        <v>-1</v>
      </c>
      <c r="T118" s="12" t="s">
        <v>1051</v>
      </c>
      <c r="U118" s="30">
        <f>4*(500+K118*10+L118)/(400+J118*10)/340*SQRT(8192/4/0.1)</f>
        <v>2.2410954767433187</v>
      </c>
      <c r="V118" s="24">
        <f>IF(T118="",0,IF(EXACT(RIGHT(T118,2)," s"),IF(ABS(VALUE(LEFT(T118,FIND(" ",T118,1)))-U118)&lt;=0.005,1,-1),-1))</f>
        <v>1</v>
      </c>
      <c r="W118" s="12">
        <v>131072</v>
      </c>
      <c r="X118" s="36">
        <f>8*2^(5+L118)</f>
        <v>131072</v>
      </c>
      <c r="Y118" s="24">
        <f>IF(W118="",0,IF(ABS(W118-X118)&lt;=1,1,-1))</f>
        <v>1</v>
      </c>
      <c r="Z118" s="43"/>
      <c r="AA118" s="26">
        <f>10*LOG10(10^((60+L118-39.4)/10)+10^((63+L118-26.2)/10)+10^((66+L118-16.1)/10)+10^((69+L118-8.6)/10)+10^((72+L118-3.2)/10)+10^((75+L118)/10)+10^((78+L118+1.2)/10)+10^((81+L118+1)/10)+10^((84+L118-1.1)/10)+10^((87+L118-6.6)/10))</f>
        <v>96.684202566927439</v>
      </c>
      <c r="AB118" s="24">
        <f>IF(Z118="",0,IF(EXACT(RIGHT(Z118,5),"dB(A)"),IF(ABS(VALUE(LEFT(Z118,FIND(" ",Z118,1)))-AA118)&lt;=0.2,1,-1),-1))</f>
        <v>0</v>
      </c>
      <c r="AC118" s="44" t="s">
        <v>1052</v>
      </c>
      <c r="AD118" s="26">
        <f>10*LOG10((10^((60+L118)/10)*(1+J118)+10^((65+K118)/10)*(2+I118/3))/(1+J118+2+I118/3))</f>
        <v>70.87681271553032</v>
      </c>
      <c r="AE118" s="24">
        <f>IF(AC118="",0,IF(EXACT(RIGHT(AC118,5),"dB(A)"),IF(ABS(VALUE(LEFT(AC118,FIND(" ",AC118,1)))-AD118)&lt;=0.5,1,-1),-1))</f>
        <v>-1</v>
      </c>
      <c r="AF118" s="12" t="s">
        <v>1053</v>
      </c>
      <c r="AG118" s="26">
        <f>90+K118+10*LOG10(4/(0.16*(300+J118*20)/(1+L118/10)))+3</f>
        <v>92.746336182969046</v>
      </c>
      <c r="AH118" s="24">
        <f>IF(AF118="",0,IF(EXACT(RIGHT(AF118,2),"dB"),IF(ABS(VALUE(LEFT(AF118,FIND(" ",AF118,1)))-AG118)&lt;=0.5,1,-1),-1))</f>
        <v>1</v>
      </c>
      <c r="AI118" s="12" t="s">
        <v>1054</v>
      </c>
      <c r="AJ118" s="26">
        <f>10*LOG10(3+40*(2*SQRT(((10+K118)/2)^2+(3+L118/10)^2)-(10+K118))*100*(1+J118)/340)</f>
        <v>20.477311811869789</v>
      </c>
      <c r="AK118" s="24">
        <f>IF(AI118="",0,IF(EXACT(RIGHT(AI118,2),"dB"),IF(ABS(VALUE(LEFT(AI118,FIND(" ",AI118,1)))-AJ118)&lt;=0.5,1,-1),-1))</f>
        <v>1</v>
      </c>
      <c r="AL118" s="12" t="s">
        <v>1055</v>
      </c>
      <c r="AM118" s="26">
        <f>80+L118-(80+K118)</f>
        <v>0</v>
      </c>
      <c r="AN118" s="24">
        <f>IF(AL118="",0,IF(EXACT(RIGHT(AL118,2),"dB"),IF(ABS(VALUE(LEFT(AL118,FIND(" ",AL118,1)))-AM118)&lt;=0.5,1,-1),-1))</f>
        <v>1</v>
      </c>
      <c r="AO118" s="12" t="s">
        <v>1056</v>
      </c>
      <c r="AP118" s="30">
        <f>((2^(5+L118))/2+1)/48</f>
        <v>170.6875</v>
      </c>
      <c r="AQ118" s="24">
        <f>IF(AO118="",0,IF(EXACT(RIGHT(AO118,2),"ms"),IF(ABS(VALUE(LEFT(AO118,FIND(" ",AO118,1)))-AP118)/AP118&lt;=0.02,1,-1),-1))</f>
        <v>1</v>
      </c>
      <c r="AR118" s="39">
        <f>M118+P118+S118+V118+Y118+AB118+AE118+AH118+AK118+AN118+AQ118</f>
        <v>7</v>
      </c>
    </row>
    <row r="119" spans="1:44" ht="13.2">
      <c r="A119" s="41">
        <v>117</v>
      </c>
      <c r="B119" s="42">
        <v>41992.768635671302</v>
      </c>
      <c r="C119" s="12" t="s">
        <v>1336</v>
      </c>
      <c r="D119" s="12" t="s">
        <v>1337</v>
      </c>
      <c r="E119" s="12">
        <v>232430</v>
      </c>
      <c r="F119" s="23">
        <v>1</v>
      </c>
      <c r="G119" s="23">
        <f>INT(E119/100000)</f>
        <v>2</v>
      </c>
      <c r="H119" s="23">
        <f>INT(($E119-100000*G119)/10000)</f>
        <v>3</v>
      </c>
      <c r="I119" s="23">
        <f>INT(($E119-100000*G119-10000*H119)/1000)</f>
        <v>2</v>
      </c>
      <c r="J119" s="23">
        <f>INT(($E119-100000*$G119-10000*$H119-1000*$I119)/100)</f>
        <v>4</v>
      </c>
      <c r="K119" s="23">
        <f>INT(($E119-100000*$G119-10000*$H119-1000*$I119-100*$J119)/10)</f>
        <v>3</v>
      </c>
      <c r="L119" s="23">
        <f>INT(($E119-100000*$G119-10000*$H119-1000*$I119-100*$J119-10*$K119))</f>
        <v>0</v>
      </c>
      <c r="M119" s="24">
        <v>2</v>
      </c>
      <c r="N119" s="12" t="s">
        <v>1338</v>
      </c>
      <c r="O119" s="26">
        <f>65+K119+10*LOG10(70+L119)+10*LOG10(100/(100+J119*20))</f>
        <v>83.898255349109505</v>
      </c>
      <c r="P119" s="24">
        <f>IF(N119="",0,IF(EXACT(RIGHT(N119,5),"dB(A)"),IF(ABS(VALUE(LEFT(N119,FIND(" ",N119,1)))-O119)&lt;=0.5,1,-1),-1))</f>
        <v>1</v>
      </c>
      <c r="Q119" s="12" t="s">
        <v>1339</v>
      </c>
      <c r="R119" s="26">
        <f>10*LOG10(10^((80+G119)/10)*(10+L119)*1000/16/3600+10^((85+H119)/10)*(10+K119)*3000/16/3600+10^((90+J119)/10)*(10+J119)*100/16/3600)</f>
        <v>87.124636591944537</v>
      </c>
      <c r="S119" s="24">
        <f>IF(Q119="",0,IF(EXACT(RIGHT(Q119,5),"dB(A)"),IF(ABS(VALUE(LEFT(Q119,FIND(" ",Q119,1)))-R119)&lt;=0.5,1,-1),-1))</f>
        <v>1</v>
      </c>
      <c r="T119" s="12" t="s">
        <v>1340</v>
      </c>
      <c r="U119" s="30">
        <f>4*(500+K119*10+L119)/(400+J119*10)/340*SQRT(8192/4/0.1)</f>
        <v>2.0280060373474029</v>
      </c>
      <c r="V119" s="24">
        <f>IF(T119="",0,IF(EXACT(RIGHT(T119,2)," s"),IF(ABS(VALUE(LEFT(T119,FIND(" ",T119,1)))-U119)&lt;=0.005,1,-1),-1))</f>
        <v>1</v>
      </c>
      <c r="W119" s="12">
        <v>256</v>
      </c>
      <c r="X119" s="36">
        <f>8*2^(5+L119)</f>
        <v>256</v>
      </c>
      <c r="Y119" s="24">
        <f>IF(W119="",0,IF(ABS(W119-X119)&lt;=1,1,-1))</f>
        <v>1</v>
      </c>
      <c r="Z119" s="43"/>
      <c r="AA119" s="26">
        <f>10*LOG10(10^((60+L119-39.4)/10)+10^((63+L119-26.2)/10)+10^((66+L119-16.1)/10)+10^((69+L119-8.6)/10)+10^((72+L119-3.2)/10)+10^((75+L119)/10)+10^((78+L119+1.2)/10)+10^((81+L119+1)/10)+10^((84+L119-1.1)/10)+10^((87+L119-6.6)/10))</f>
        <v>87.684202566927468</v>
      </c>
      <c r="AB119" s="24">
        <f>IF(Z119="",0,IF(EXACT(RIGHT(Z119,5),"dB(A)"),IF(ABS(VALUE(LEFT(Z119,FIND(" ",Z119,1)))-AA119)&lt;=0.2,1,-1),-1))</f>
        <v>0</v>
      </c>
      <c r="AC119" s="12" t="s">
        <v>1341</v>
      </c>
      <c r="AD119" s="26">
        <f>10*LOG10((10^((60+L119)/10)*(1+J119)+10^((65+K119)/10)*(2+I119/3))/(1+J119+2+I119/3))</f>
        <v>64.54358201198059</v>
      </c>
      <c r="AE119" s="24">
        <f>IF(AC119="",0,IF(EXACT(RIGHT(AC119,5),"dB(A)"),IF(ABS(VALUE(LEFT(AC119,FIND(" ",AC119,1)))-AD119)&lt;=0.5,1,-1),-1))</f>
        <v>1</v>
      </c>
      <c r="AF119" s="12" t="s">
        <v>1342</v>
      </c>
      <c r="AG119" s="26">
        <f>90+K119+10*LOG10(4/(0.16*(300+J119*20)/(1+L119/10)))+3</f>
        <v>84.181564120552281</v>
      </c>
      <c r="AH119" s="24">
        <f>IF(AF119="",0,IF(EXACT(RIGHT(AF119,2),"dB"),IF(ABS(VALUE(LEFT(AF119,FIND(" ",AF119,1)))-AG119)&lt;=0.5,1,-1),-1))</f>
        <v>1</v>
      </c>
      <c r="AI119" s="12" t="s">
        <v>1343</v>
      </c>
      <c r="AJ119" s="26">
        <f>10*LOG10(3+40*(2*SQRT(((10+K119)/2)^2+(3+L119/10)^2)-(10+K119))*100*(1+J119)/340)</f>
        <v>19.058977580845692</v>
      </c>
      <c r="AK119" s="24">
        <f>IF(AI119="",0,IF(EXACT(RIGHT(AI119,2),"dB"),IF(ABS(VALUE(LEFT(AI119,FIND(" ",AI119,1)))-AJ119)&lt;=0.5,1,-1),-1))</f>
        <v>1</v>
      </c>
      <c r="AL119" s="44">
        <v>-3</v>
      </c>
      <c r="AM119" s="26">
        <f>80+L119-(80+K119)</f>
        <v>-3</v>
      </c>
      <c r="AN119" s="24">
        <f>IF(AL119="",0,IF(EXACT(RIGHT(AL119,2),"dB"),IF(ABS(VALUE(LEFT(AL119,FIND(" ",AL119,1)))-AM119)&lt;=0.5,1,-1),-1))</f>
        <v>-1</v>
      </c>
      <c r="AO119" s="12" t="s">
        <v>1344</v>
      </c>
      <c r="AP119" s="30">
        <f>((2^(5+L119))/2+1)/48</f>
        <v>0.35416666666666669</v>
      </c>
      <c r="AQ119" s="24">
        <f>IF(AO119="",0,IF(EXACT(RIGHT(AO119,2),"ms"),IF(ABS(VALUE(LEFT(AO119,FIND(" ",AO119,1)))-AP119)/AP119&lt;=0.02,1,-1),-1))</f>
        <v>-1</v>
      </c>
      <c r="AR119" s="39">
        <f>M119+P119+S119+V119+Y119+AB119+AE119+AH119+AK119+AN119+AQ119</f>
        <v>7</v>
      </c>
    </row>
    <row r="120" spans="1:44" ht="13.2">
      <c r="A120" s="41">
        <v>118</v>
      </c>
      <c r="B120" s="42">
        <v>41992.770667800927</v>
      </c>
      <c r="C120" s="12" t="s">
        <v>1389</v>
      </c>
      <c r="D120" s="12" t="s">
        <v>1390</v>
      </c>
      <c r="E120" s="12">
        <v>250972</v>
      </c>
      <c r="F120" s="23">
        <v>1</v>
      </c>
      <c r="G120" s="23">
        <f>INT(E120/100000)</f>
        <v>2</v>
      </c>
      <c r="H120" s="23">
        <f>INT(($E120-100000*G120)/10000)</f>
        <v>5</v>
      </c>
      <c r="I120" s="23">
        <f>INT(($E120-100000*G120-10000*H120)/1000)</f>
        <v>0</v>
      </c>
      <c r="J120" s="23">
        <f>INT(($E120-100000*$G120-10000*$H120-1000*$I120)/100)</f>
        <v>9</v>
      </c>
      <c r="K120" s="23">
        <f>INT(($E120-100000*$G120-10000*$H120-1000*$I120-100*$J120)/10)</f>
        <v>7</v>
      </c>
      <c r="L120" s="23">
        <f>INT(($E120-100000*$G120-10000*$H120-1000*$I120-100*$J120-10*$K120))</f>
        <v>2</v>
      </c>
      <c r="M120" s="24">
        <v>2</v>
      </c>
      <c r="N120" s="12" t="s">
        <v>1391</v>
      </c>
      <c r="O120" s="26">
        <f>65+K120+10*LOG10(70+L120)+10*LOG10(100/(100+J120*20))</f>
        <v>86.101744650890495</v>
      </c>
      <c r="P120" s="24">
        <f>IF(N120="",0,IF(EXACT(RIGHT(N120,5),"dB(A)"),IF(ABS(VALUE(LEFT(N120,FIND(" ",N120,1)))-O120)&lt;=0.5,1,-1),-1))</f>
        <v>1</v>
      </c>
      <c r="Q120" s="12" t="s">
        <v>1392</v>
      </c>
      <c r="R120" s="26">
        <f>10*LOG10(10^((80+G120)/10)*(10+L120)*1000/16/3600+10^((85+H120)/10)*(10+K120)*3000/16/3600+10^((90+J120)/10)*(10+J120)*100/16/3600)</f>
        <v>90.72048799169994</v>
      </c>
      <c r="S120" s="24">
        <f>IF(Q120="",0,IF(EXACT(RIGHT(Q120,5),"dB(A)"),IF(ABS(VALUE(LEFT(Q120,FIND(" ",Q120,1)))-R120)&lt;=0.5,1,-1),-1))</f>
        <v>1</v>
      </c>
      <c r="T120" s="12" t="s">
        <v>1393</v>
      </c>
      <c r="U120" s="30">
        <f>4*(500+K120*10+L120)/(400+J120*10)/340*SQRT(8192/4/0.1)</f>
        <v>1.9653775875225044</v>
      </c>
      <c r="V120" s="24">
        <f>IF(T120="",0,IF(EXACT(RIGHT(T120,2)," s"),IF(ABS(VALUE(LEFT(T120,FIND(" ",T120,1)))-U120)&lt;=0.005,1,-1),-1))</f>
        <v>1</v>
      </c>
      <c r="W120" s="12">
        <v>1024</v>
      </c>
      <c r="X120" s="36">
        <f>8*2^(5+L120)</f>
        <v>1024</v>
      </c>
      <c r="Y120" s="24">
        <f>IF(W120="",0,IF(ABS(W120-X120)&lt;=1,1,-1))</f>
        <v>1</v>
      </c>
      <c r="Z120" s="43"/>
      <c r="AA120" s="26">
        <f>10*LOG10(10^((60+L120-39.4)/10)+10^((63+L120-26.2)/10)+10^((66+L120-16.1)/10)+10^((69+L120-8.6)/10)+10^((72+L120-3.2)/10)+10^((75+L120)/10)+10^((78+L120+1.2)/10)+10^((81+L120+1)/10)+10^((84+L120-1.1)/10)+10^((87+L120-6.6)/10))</f>
        <v>89.684202566927453</v>
      </c>
      <c r="AB120" s="24">
        <f>IF(Z120="",0,IF(EXACT(RIGHT(Z120,5),"dB(A)"),IF(ABS(VALUE(LEFT(Z120,FIND(" ",Z120,1)))-AA120)&lt;=0.2,1,-1),-1))</f>
        <v>0</v>
      </c>
      <c r="AC120" s="12" t="s">
        <v>1394</v>
      </c>
      <c r="AD120" s="26">
        <f>10*LOG10((10^((60+L120)/10)*(1+J120)+10^((65+K120)/10)*(2+I120/3))/(1+J120+2+I120/3))</f>
        <v>65.979400086720389</v>
      </c>
      <c r="AE120" s="24">
        <f>IF(AC120="",0,IF(EXACT(RIGHT(AC120,5),"dB(A)"),IF(ABS(VALUE(LEFT(AC120,FIND(" ",AC120,1)))-AD120)&lt;=0.5,1,-1),-1))</f>
        <v>1</v>
      </c>
      <c r="AF120" s="12" t="s">
        <v>1395</v>
      </c>
      <c r="AG120" s="26">
        <f>90+K120+10*LOG10(4/(0.16*(300+J120*20)/(1+L120/10)))+3</f>
        <v>87.95880017344075</v>
      </c>
      <c r="AH120" s="24">
        <f>IF(AF120="",0,IF(EXACT(RIGHT(AF120,2),"dB"),IF(ABS(VALUE(LEFT(AF120,FIND(" ",AF120,1)))-AG120)&lt;=0.5,1,-1),-1))</f>
        <v>-1</v>
      </c>
      <c r="AI120" s="12" t="s">
        <v>1396</v>
      </c>
      <c r="AJ120" s="26">
        <f>10*LOG10(3+40*(2*SQRT(((10+K120)/2)^2+(3+L120/10)^2)-(10+K120))*100*(1+J120)/340)</f>
        <v>21.46237919248312</v>
      </c>
      <c r="AK120" s="24">
        <f>IF(AI120="",0,IF(EXACT(RIGHT(AI120,2),"dB"),IF(ABS(VALUE(LEFT(AI120,FIND(" ",AI120,1)))-AJ120)&lt;=0.5,1,-1),-1))</f>
        <v>1</v>
      </c>
      <c r="AL120" s="12" t="s">
        <v>1397</v>
      </c>
      <c r="AM120" s="26">
        <f>80+L120-(80+K120)</f>
        <v>-5</v>
      </c>
      <c r="AN120" s="24">
        <f>IF(AL120="",0,IF(EXACT(RIGHT(AL120,2),"dB"),IF(ABS(VALUE(LEFT(AL120,FIND(" ",AL120,1)))-AM120)&lt;=0.5,1,-1),-1))</f>
        <v>1</v>
      </c>
      <c r="AO120" s="12" t="s">
        <v>1398</v>
      </c>
      <c r="AP120" s="30">
        <f>((2^(5+L120))/2+1)/48</f>
        <v>1.3541666666666667</v>
      </c>
      <c r="AQ120" s="24">
        <f>IF(AO120="",0,IF(EXACT(RIGHT(AO120,2),"ms"),IF(ABS(VALUE(LEFT(AO120,FIND(" ",AO120,1)))-AP120)/AP120&lt;=0.02,1,-1),-1))</f>
        <v>-1</v>
      </c>
      <c r="AR120" s="39">
        <f>M120+P120+S120+V120+Y120+AB120+AE120+AH120+AK120+AN120+AQ120</f>
        <v>7</v>
      </c>
    </row>
    <row r="121" spans="1:44" ht="13.2">
      <c r="A121" s="41">
        <v>119</v>
      </c>
      <c r="B121" s="42">
        <v>41992.771418425924</v>
      </c>
      <c r="C121" s="12" t="s">
        <v>1463</v>
      </c>
      <c r="D121" s="12" t="s">
        <v>1464</v>
      </c>
      <c r="E121" s="12">
        <v>239453</v>
      </c>
      <c r="F121" s="23">
        <v>1</v>
      </c>
      <c r="G121" s="23">
        <f>INT(E121/100000)</f>
        <v>2</v>
      </c>
      <c r="H121" s="23">
        <f>INT(($E121-100000*G121)/10000)</f>
        <v>3</v>
      </c>
      <c r="I121" s="23">
        <f>INT(($E121-100000*G121-10000*H121)/1000)</f>
        <v>9</v>
      </c>
      <c r="J121" s="23">
        <f>INT(($E121-100000*$G121-10000*$H121-1000*$I121)/100)</f>
        <v>4</v>
      </c>
      <c r="K121" s="23">
        <f>INT(($E121-100000*$G121-10000*$H121-1000*$I121-100*$J121)/10)</f>
        <v>5</v>
      </c>
      <c r="L121" s="23">
        <f>INT(($E121-100000*$G121-10000*$H121-1000*$I121-100*$J121-10*$K121))</f>
        <v>3</v>
      </c>
      <c r="M121" s="24">
        <v>2</v>
      </c>
      <c r="N121" s="12" t="s">
        <v>1465</v>
      </c>
      <c r="O121" s="26">
        <f>65+K121+10*LOG10(70+L121)+10*LOG10(100/(100+J121*20))</f>
        <v>86.0805035501715</v>
      </c>
      <c r="P121" s="24">
        <f>IF(N121="",0,IF(EXACT(RIGHT(N121,5),"dB(A)"),IF(ABS(VALUE(LEFT(N121,FIND(" ",N121,1)))-O121)&lt;=0.5,1,-1),-1))</f>
        <v>1</v>
      </c>
      <c r="Q121" s="12" t="s">
        <v>1466</v>
      </c>
      <c r="R121" s="26">
        <f>10*LOG10(10^((80+G121)/10)*(10+L121)*1000/16/3600+10^((85+H121)/10)*(10+K121)*3000/16/3600+10^((90+J121)/10)*(10+J121)*100/16/3600)</f>
        <v>87.706741201723673</v>
      </c>
      <c r="S121" s="24">
        <f>IF(Q121="",0,IF(EXACT(RIGHT(Q121,5),"dB(A)"),IF(ABS(VALUE(LEFT(Q121,FIND(" ",Q121,1)))-R121)&lt;=0.5,1,-1),-1))</f>
        <v>1</v>
      </c>
      <c r="T121" s="12" t="s">
        <v>1467</v>
      </c>
      <c r="U121" s="30">
        <f>4*(500+K121*10+L121)/(400+J121*10)/340*SQRT(8192/4/0.1)</f>
        <v>2.1160138465153091</v>
      </c>
      <c r="V121" s="24">
        <f>IF(T121="",0,IF(EXACT(RIGHT(T121,2)," s"),IF(ABS(VALUE(LEFT(T121,FIND(" ",T121,1)))-U121)&lt;=0.005,1,-1),-1))</f>
        <v>1</v>
      </c>
      <c r="W121" s="12">
        <v>2048</v>
      </c>
      <c r="X121" s="36">
        <f>8*2^(5+L121)</f>
        <v>2048</v>
      </c>
      <c r="Y121" s="24">
        <f>IF(W121="",0,IF(ABS(W121-X121)&lt;=1,1,-1))</f>
        <v>1</v>
      </c>
      <c r="Z121" s="43"/>
      <c r="AA121" s="26">
        <f>10*LOG10(10^((60+L121-39.4)/10)+10^((63+L121-26.2)/10)+10^((66+L121-16.1)/10)+10^((69+L121-8.6)/10)+10^((72+L121-3.2)/10)+10^((75+L121)/10)+10^((78+L121+1.2)/10)+10^((81+L121+1)/10)+10^((84+L121-1.1)/10)+10^((87+L121-6.6)/10))</f>
        <v>90.684202566927453</v>
      </c>
      <c r="AB121" s="24">
        <f>IF(Z121="",0,IF(EXACT(RIGHT(Z121,5),"dB(A)"),IF(ABS(VALUE(LEFT(Z121,FIND(" ",Z121,1)))-AA121)&lt;=0.2,1,-1),-1))</f>
        <v>0</v>
      </c>
      <c r="AC121" s="12" t="s">
        <v>1468</v>
      </c>
      <c r="AD121" s="26">
        <f>10*LOG10((10^((60+L121)/10)*(1+J121)+10^((65+K121)/10)*(2+I121/3))/(1+J121+2+I121/3))</f>
        <v>67.779797539885863</v>
      </c>
      <c r="AE121" s="24">
        <f>IF(AC121="",0,IF(EXACT(RIGHT(AC121,5),"dB(A)"),IF(ABS(VALUE(LEFT(AC121,FIND(" ",AC121,1)))-AD121)&lt;=0.5,1,-1),-1))</f>
        <v>1</v>
      </c>
      <c r="AF121" s="12" t="s">
        <v>1469</v>
      </c>
      <c r="AG121" s="26">
        <f>90+K121+10*LOG10(4/(0.16*(300+J121*20)/(1+L121/10)))+3</f>
        <v>87.320997643620643</v>
      </c>
      <c r="AH121" s="24">
        <f>IF(AF121="",0,IF(EXACT(RIGHT(AF121,2),"dB"),IF(ABS(VALUE(LEFT(AF121,FIND(" ",AF121,1)))-AG121)&lt;=0.5,1,-1),-1))</f>
        <v>-1</v>
      </c>
      <c r="AI121" s="12" t="s">
        <v>1470</v>
      </c>
      <c r="AJ121" s="26">
        <f>10*LOG10(3+40*(2*SQRT(((10+K121)/2)^2+(3+L121/10)^2)-(10+K121))*100*(1+J121)/340)</f>
        <v>19.275516105455392</v>
      </c>
      <c r="AK121" s="24">
        <f>IF(AI121="",0,IF(EXACT(RIGHT(AI121,2),"dB"),IF(ABS(VALUE(LEFT(AI121,FIND(" ",AI121,1)))-AJ121)&lt;=0.5,1,-1),-1))</f>
        <v>1</v>
      </c>
      <c r="AL121" s="12" t="s">
        <v>1471</v>
      </c>
      <c r="AM121" s="26">
        <f>80+L121-(80+K121)</f>
        <v>-2</v>
      </c>
      <c r="AN121" s="24">
        <f>IF(AL121="",0,IF(EXACT(RIGHT(AL121,2),"dB"),IF(ABS(VALUE(LEFT(AL121,FIND(" ",AL121,1)))-AM121)&lt;=0.5,1,-1),-1))</f>
        <v>1</v>
      </c>
      <c r="AO121" s="12" t="s">
        <v>1472</v>
      </c>
      <c r="AP121" s="30">
        <f>((2^(5+L121))/2+1)/48</f>
        <v>2.6875</v>
      </c>
      <c r="AQ121" s="24">
        <f>IF(AO121="",0,IF(EXACT(RIGHT(AO121,2),"ms"),IF(ABS(VALUE(LEFT(AO121,FIND(" ",AO121,1)))-AP121)/AP121&lt;=0.02,1,-1),-1))</f>
        <v>-1</v>
      </c>
      <c r="AR121" s="39">
        <f>M121+P121+S121+V121+Y121+AB121+AE121+AH121+AK121+AN121+AQ121</f>
        <v>7</v>
      </c>
    </row>
    <row r="122" spans="1:44" ht="13.2">
      <c r="A122" s="41">
        <v>120</v>
      </c>
      <c r="B122" s="42">
        <v>41992.771860092595</v>
      </c>
      <c r="C122" s="12" t="s">
        <v>1473</v>
      </c>
      <c r="D122" s="12" t="s">
        <v>1474</v>
      </c>
      <c r="E122" s="12">
        <v>243652</v>
      </c>
      <c r="F122" s="23">
        <v>1</v>
      </c>
      <c r="G122" s="23">
        <f>INT(E122/100000)</f>
        <v>2</v>
      </c>
      <c r="H122" s="23">
        <f>INT(($E122-100000*G122)/10000)</f>
        <v>4</v>
      </c>
      <c r="I122" s="23">
        <f>INT(($E122-100000*G122-10000*H122)/1000)</f>
        <v>3</v>
      </c>
      <c r="J122" s="23">
        <f>INT(($E122-100000*$G122-10000*$H122-1000*$I122)/100)</f>
        <v>6</v>
      </c>
      <c r="K122" s="23">
        <f>INT(($E122-100000*$G122-10000*$H122-1000*$I122-100*$J122)/10)</f>
        <v>5</v>
      </c>
      <c r="L122" s="23">
        <f>INT(($E122-100000*$G122-10000*$H122-1000*$I122-100*$J122-10*$K122))</f>
        <v>2</v>
      </c>
      <c r="M122" s="24">
        <v>2</v>
      </c>
      <c r="N122" s="12" t="s">
        <v>1475</v>
      </c>
      <c r="O122" s="26">
        <f>65+K122+10*LOG10(70+L122)+10*LOG10(100/(100+J122*20))</f>
        <v>85.149098156090631</v>
      </c>
      <c r="P122" s="24">
        <f>IF(N122="",0,IF(EXACT(RIGHT(N122,5),"dB(A)"),IF(ABS(VALUE(LEFT(N122,FIND(" ",N122,1)))-O122)&lt;=0.5,1,-1),-1))</f>
        <v>1</v>
      </c>
      <c r="Q122" s="12" t="s">
        <v>1476</v>
      </c>
      <c r="R122" s="26">
        <f>10*LOG10(10^((80+G122)/10)*(10+L122)*1000/16/3600+10^((85+H122)/10)*(10+K122)*3000/16/3600+10^((90+J122)/10)*(10+J122)*100/16/3600)</f>
        <v>88.831916132424311</v>
      </c>
      <c r="S122" s="24">
        <f>IF(Q122="",0,IF(EXACT(RIGHT(Q122,5),"dB(A)"),IF(ABS(VALUE(LEFT(Q122,FIND(" ",Q122,1)))-R122)&lt;=0.5,1,-1),-1))</f>
        <v>1</v>
      </c>
      <c r="T122" s="12" t="s">
        <v>1477</v>
      </c>
      <c r="U122" s="30">
        <f>4*(500+K122*10+L122)/(400+J122*10)/340*SQRT(8192/4/0.1)</f>
        <v>2.0203531843762805</v>
      </c>
      <c r="V122" s="24">
        <f>IF(T122="",0,IF(EXACT(RIGHT(T122,2)," s"),IF(ABS(VALUE(LEFT(T122,FIND(" ",T122,1)))-U122)&lt;=0.005,1,-1),-1))</f>
        <v>1</v>
      </c>
      <c r="W122" s="12">
        <v>1024</v>
      </c>
      <c r="X122" s="36">
        <f>8*2^(5+L122)</f>
        <v>1024</v>
      </c>
      <c r="Y122" s="24">
        <f>IF(W122="",0,IF(ABS(W122-X122)&lt;=1,1,-1))</f>
        <v>1</v>
      </c>
      <c r="Z122" s="43"/>
      <c r="AA122" s="26">
        <f>10*LOG10(10^((60+L122-39.4)/10)+10^((63+L122-26.2)/10)+10^((66+L122-16.1)/10)+10^((69+L122-8.6)/10)+10^((72+L122-3.2)/10)+10^((75+L122)/10)+10^((78+L122+1.2)/10)+10^((81+L122+1)/10)+10^((84+L122-1.1)/10)+10^((87+L122-6.6)/10))</f>
        <v>89.684202566927453</v>
      </c>
      <c r="AB122" s="24">
        <f>IF(Z122="",0,IF(EXACT(RIGHT(Z122,5),"dB(A)"),IF(ABS(VALUE(LEFT(Z122,FIND(" ",Z122,1)))-AA122)&lt;=0.2,1,-1),-1))</f>
        <v>0</v>
      </c>
      <c r="AC122" s="12" t="s">
        <v>1478</v>
      </c>
      <c r="AD122" s="26">
        <f>10*LOG10((10^((60+L122)/10)*(1+J122)+10^((65+K122)/10)*(2+I122/3))/(1+J122+2+I122/3))</f>
        <v>66.137810834712383</v>
      </c>
      <c r="AE122" s="24">
        <f>IF(AC122="",0,IF(EXACT(RIGHT(AC122,5),"dB(A)"),IF(ABS(VALUE(LEFT(AC122,FIND(" ",AC122,1)))-AD122)&lt;=0.5,1,-1),-1))</f>
        <v>1</v>
      </c>
      <c r="AF122" s="12" t="s">
        <v>1479</v>
      </c>
      <c r="AG122" s="26">
        <f>90+K122+10*LOG10(4/(0.16*(300+J122*20)/(1+L122/10)))+3</f>
        <v>86.538719643217618</v>
      </c>
      <c r="AH122" s="24">
        <f>IF(AF122="",0,IF(EXACT(RIGHT(AF122,2),"dB"),IF(ABS(VALUE(LEFT(AF122,FIND(" ",AF122,1)))-AG122)&lt;=0.5,1,-1),-1))</f>
        <v>-1</v>
      </c>
      <c r="AI122" s="12" t="s">
        <v>1480</v>
      </c>
      <c r="AJ122" s="26">
        <f>10*LOG10(3+40*(2*SQRT(((10+K122)/2)^2+(3+L122/10)^2)-(10+K122))*100*(1+J122)/340)</f>
        <v>20.443073215388232</v>
      </c>
      <c r="AK122" s="24">
        <f>IF(AI122="",0,IF(EXACT(RIGHT(AI122,2),"dB"),IF(ABS(VALUE(LEFT(AI122,FIND(" ",AI122,1)))-AJ122)&lt;=0.5,1,-1),-1))</f>
        <v>1</v>
      </c>
      <c r="AL122" s="12" t="s">
        <v>1481</v>
      </c>
      <c r="AM122" s="26">
        <f>80+L122-(80+K122)</f>
        <v>-3</v>
      </c>
      <c r="AN122" s="24">
        <f>IF(AL122="",0,IF(EXACT(RIGHT(AL122,2),"dB"),IF(ABS(VALUE(LEFT(AL122,FIND(" ",AL122,1)))-AM122)&lt;=0.5,1,-1),-1))</f>
        <v>1</v>
      </c>
      <c r="AO122" s="12" t="s">
        <v>1482</v>
      </c>
      <c r="AP122" s="30">
        <f>((2^(5+L122))/2+1)/48</f>
        <v>1.3541666666666667</v>
      </c>
      <c r="AQ122" s="24">
        <f>IF(AO122="",0,IF(EXACT(RIGHT(AO122,2),"ms"),IF(ABS(VALUE(LEFT(AO122,FIND(" ",AO122,1)))-AP122)/AP122&lt;=0.02,1,-1),-1))</f>
        <v>-1</v>
      </c>
      <c r="AR122" s="39">
        <f>M122+P122+S122+V122+Y122+AB122+AE122+AH122+AK122+AN122+AQ122</f>
        <v>7</v>
      </c>
    </row>
    <row r="123" spans="1:44" ht="13.2">
      <c r="A123" s="41">
        <v>121</v>
      </c>
      <c r="B123" s="42">
        <v>41992.76512344907</v>
      </c>
      <c r="C123" s="12" t="s">
        <v>746</v>
      </c>
      <c r="D123" s="12" t="s">
        <v>747</v>
      </c>
      <c r="E123" s="12">
        <v>243627</v>
      </c>
      <c r="F123" s="23">
        <v>1</v>
      </c>
      <c r="G123" s="23">
        <f>INT(E123/100000)</f>
        <v>2</v>
      </c>
      <c r="H123" s="23">
        <f>INT(($E123-100000*G123)/10000)</f>
        <v>4</v>
      </c>
      <c r="I123" s="23">
        <f>INT(($E123-100000*G123-10000*H123)/1000)</f>
        <v>3</v>
      </c>
      <c r="J123" s="23">
        <f>INT(($E123-100000*$G123-10000*$H123-1000*$I123)/100)</f>
        <v>6</v>
      </c>
      <c r="K123" s="23">
        <f>INT(($E123-100000*$G123-10000*$H123-1000*$I123-100*$J123)/10)</f>
        <v>2</v>
      </c>
      <c r="L123" s="23">
        <f>INT(($E123-100000*$G123-10000*$H123-1000*$I123-100*$J123-10*$K123))</f>
        <v>7</v>
      </c>
      <c r="M123" s="24">
        <v>2</v>
      </c>
      <c r="N123" s="12" t="s">
        <v>748</v>
      </c>
      <c r="O123" s="26">
        <f>65+K123+10*LOG10(70+L123)+10*LOG10(100/(100+J123*20))</f>
        <v>82.440680443502757</v>
      </c>
      <c r="P123" s="24">
        <f>IF(N123="",0,IF(EXACT(RIGHT(N123,5),"dB(A)"),IF(ABS(VALUE(LEFT(N123,FIND(" ",N123,1)))-O123)&lt;=0.5,1,-1),-1))</f>
        <v>-1</v>
      </c>
      <c r="Q123" s="12" t="s">
        <v>749</v>
      </c>
      <c r="R123" s="26">
        <f>10*LOG10(10^((80+G123)/10)*(10+L123)*1000/16/3600+10^((85+H123)/10)*(10+K123)*3000/16/3600+10^((90+J123)/10)*(10+J123)*100/16/3600)</f>
        <v>88.154560979142275</v>
      </c>
      <c r="S123" s="24">
        <f>IF(Q123="",0,IF(EXACT(RIGHT(Q123,5),"dB(A)"),IF(ABS(VALUE(LEFT(Q123,FIND(" ",Q123,1)))-R123)&lt;=0.5,1,-1),-1))</f>
        <v>1</v>
      </c>
      <c r="T123" s="12" t="s">
        <v>750</v>
      </c>
      <c r="U123" s="30">
        <f>4*(500+K123*10+L123)/(400+J123*10)/340*SQRT(8192/4/0.1)</f>
        <v>1.9288516814606882</v>
      </c>
      <c r="V123" s="24">
        <f>IF(T123="",0,IF(EXACT(RIGHT(T123,2)," s"),IF(ABS(VALUE(LEFT(T123,FIND(" ",T123,1)))-U123)&lt;=0.005,1,-1),-1))</f>
        <v>1</v>
      </c>
      <c r="W123" s="12">
        <v>32768</v>
      </c>
      <c r="X123" s="36">
        <f>8*2^(5+L123)</f>
        <v>32768</v>
      </c>
      <c r="Y123" s="24">
        <f>IF(W123="",0,IF(ABS(W123-X123)&lt;=1,1,-1))</f>
        <v>1</v>
      </c>
      <c r="Z123" s="43"/>
      <c r="AA123" s="26">
        <f>10*LOG10(10^((60+L123-39.4)/10)+10^((63+L123-26.2)/10)+10^((66+L123-16.1)/10)+10^((69+L123-8.6)/10)+10^((72+L123-3.2)/10)+10^((75+L123)/10)+10^((78+L123+1.2)/10)+10^((81+L123+1)/10)+10^((84+L123-1.1)/10)+10^((87+L123-6.6)/10))</f>
        <v>94.684202566927453</v>
      </c>
      <c r="AB123" s="24">
        <f>IF(Z123="",0,IF(EXACT(RIGHT(Z123,5),"dB(A)"),IF(ABS(VALUE(LEFT(Z123,FIND(" ",Z123,1)))-AA123)&lt;=0.2,1,-1),-1))</f>
        <v>0</v>
      </c>
      <c r="AC123" s="45" t="s">
        <v>751</v>
      </c>
      <c r="AD123" s="26">
        <f>10*LOG10((10^((60+L123)/10)*(1+J123)+10^((65+K123)/10)*(2+I123/3))/(1+J123+2+I123/3))</f>
        <v>67.000000000000014</v>
      </c>
      <c r="AE123" s="24">
        <f>IF(AC123="",0,IF(EXACT(RIGHT(AC123,5),"dB(A)"),IF(ABS(VALUE(LEFT(AC123,FIND(" ",AC123,1)))-AD123)&lt;=0.5,1,-1),-1))</f>
        <v>1</v>
      </c>
      <c r="AF123" s="44" t="s">
        <v>752</v>
      </c>
      <c r="AG123" s="26">
        <f>90+K123+10*LOG10(4/(0.16*(300+J123*20)/(1+L123/10)))+3</f>
        <v>85.051396396524112</v>
      </c>
      <c r="AH123" s="24">
        <f>IF(AF123="",0,IF(EXACT(RIGHT(AF123,2),"dB"),IF(ABS(VALUE(LEFT(AF123,FIND(" ",AF123,1)))-AG123)&lt;=0.5,1,-1),-1))</f>
        <v>-1</v>
      </c>
      <c r="AI123" s="12" t="s">
        <v>753</v>
      </c>
      <c r="AJ123" s="26">
        <f>10*LOG10(3+40*(2*SQRT(((10+K123)/2)^2+(3+L123/10)^2)-(10+K123))*100*(1+J123)/340)</f>
        <v>22.450068927299451</v>
      </c>
      <c r="AK123" s="24">
        <f>IF(AI123="",0,IF(EXACT(RIGHT(AI123,2),"dB"),IF(ABS(VALUE(LEFT(AI123,FIND(" ",AI123,1)))-AJ123)&lt;=0.5,1,-1),-1))</f>
        <v>1</v>
      </c>
      <c r="AL123" s="12" t="s">
        <v>754</v>
      </c>
      <c r="AM123" s="26">
        <f>80+L123-(80+K123)</f>
        <v>5</v>
      </c>
      <c r="AN123" s="24">
        <f>IF(AL123="",0,IF(EXACT(RIGHT(AL123,2),"dB"),IF(ABS(VALUE(LEFT(AL123,FIND(" ",AL123,1)))-AM123)&lt;=0.5,1,-1),-1))</f>
        <v>1</v>
      </c>
      <c r="AO123" s="12" t="s">
        <v>755</v>
      </c>
      <c r="AP123" s="30">
        <f>((2^(5+L123))/2+1)/48</f>
        <v>42.6875</v>
      </c>
      <c r="AQ123" s="24">
        <f>IF(AO123="",0,IF(EXACT(RIGHT(AO123,2),"ms"),IF(ABS(VALUE(LEFT(AO123,FIND(" ",AO123,1)))-AP123)/AP123&lt;=0.02,1,-1),-1))</f>
        <v>1</v>
      </c>
      <c r="AR123" s="39">
        <f>M123+P123+S123+V123+Y123+AB123+AE123+AH123+AK123+AN123+AQ123</f>
        <v>7</v>
      </c>
    </row>
    <row r="124" spans="1:44" ht="13.2">
      <c r="A124" s="41">
        <v>122</v>
      </c>
      <c r="B124" s="42">
        <v>41992.770900682874</v>
      </c>
      <c r="C124" s="12" t="s">
        <v>1399</v>
      </c>
      <c r="D124" s="12" t="s">
        <v>1400</v>
      </c>
      <c r="E124" s="12">
        <v>242673</v>
      </c>
      <c r="F124" s="23">
        <v>1</v>
      </c>
      <c r="G124" s="23">
        <f>INT(E124/100000)</f>
        <v>2</v>
      </c>
      <c r="H124" s="23">
        <f>INT(($E124-100000*G124)/10000)</f>
        <v>4</v>
      </c>
      <c r="I124" s="23">
        <f>INT(($E124-100000*G124-10000*H124)/1000)</f>
        <v>2</v>
      </c>
      <c r="J124" s="23">
        <f>INT(($E124-100000*$G124-10000*$H124-1000*$I124)/100)</f>
        <v>6</v>
      </c>
      <c r="K124" s="23">
        <f>INT(($E124-100000*$G124-10000*$H124-1000*$I124-100*$J124)/10)</f>
        <v>7</v>
      </c>
      <c r="L124" s="23">
        <f>INT(($E124-100000*$G124-10000*$H124-1000*$I124-100*$J124-10*$K124))</f>
        <v>3</v>
      </c>
      <c r="M124" s="24">
        <v>2</v>
      </c>
      <c r="N124" s="12" t="s">
        <v>1401</v>
      </c>
      <c r="O124" s="26">
        <f>65+K124+10*LOG10(70+L124)+10*LOG10(100/(100+J124*20))</f>
        <v>87.209001792982505</v>
      </c>
      <c r="P124" s="24">
        <f>IF(N124="",0,IF(EXACT(RIGHT(N124,5),"dB(A)"),IF(ABS(VALUE(LEFT(N124,FIND(" ",N124,1)))-O124)&lt;=0.5,1,-1),-1))</f>
        <v>1</v>
      </c>
      <c r="Q124" s="12" t="s">
        <v>1402</v>
      </c>
      <c r="R124" s="26">
        <f>10*LOG10(10^((80+G124)/10)*(10+L124)*1000/16/3600+10^((85+H124)/10)*(10+K124)*3000/16/3600+10^((90+J124)/10)*(10+J124)*100/16/3600)</f>
        <v>89.292487214004282</v>
      </c>
      <c r="S124" s="24">
        <f>IF(Q124="",0,IF(EXACT(RIGHT(Q124,5),"dB(A)"),IF(ABS(VALUE(LEFT(Q124,FIND(" ",Q124,1)))-R124)&lt;=0.5,1,-1),-1))</f>
        <v>1</v>
      </c>
      <c r="T124" s="45" t="s">
        <v>1403</v>
      </c>
      <c r="U124" s="30">
        <f>4*(500+K124*10+L124)/(400+J124*10)/340*SQRT(8192/4/0.1)</f>
        <v>2.0972144468253782</v>
      </c>
      <c r="V124" s="24">
        <f>IF(T124="",0,IF(EXACT(RIGHT(T124,2)," s"),IF(ABS(VALUE(LEFT(T124,FIND(" ",T124,1)))-U124)&lt;=0.005,1,-1),-1))</f>
        <v>1</v>
      </c>
      <c r="W124" s="12">
        <v>2048</v>
      </c>
      <c r="X124" s="36">
        <f>8*2^(5+L124)</f>
        <v>2048</v>
      </c>
      <c r="Y124" s="24">
        <f>IF(W124="",0,IF(ABS(W124-X124)&lt;=1,1,-1))</f>
        <v>1</v>
      </c>
      <c r="Z124" s="43"/>
      <c r="AA124" s="26">
        <f>10*LOG10(10^((60+L124-39.4)/10)+10^((63+L124-26.2)/10)+10^((66+L124-16.1)/10)+10^((69+L124-8.6)/10)+10^((72+L124-3.2)/10)+10^((75+L124)/10)+10^((78+L124+1.2)/10)+10^((81+L124+1)/10)+10^((84+L124-1.1)/10)+10^((87+L124-6.6)/10))</f>
        <v>90.684202566927453</v>
      </c>
      <c r="AB124" s="24">
        <f>IF(Z124="",0,IF(EXACT(RIGHT(Z124,5),"dB(A)"),IF(ABS(VALUE(LEFT(Z124,FIND(" ",Z124,1)))-AA124)&lt;=0.2,1,-1),-1))</f>
        <v>0</v>
      </c>
      <c r="AC124" s="12" t="s">
        <v>1404</v>
      </c>
      <c r="AD124" s="26">
        <f>10*LOG10((10^((60+L124)/10)*(1+J124)+10^((65+K124)/10)*(2+I124/3))/(1+J124+2+I124/3))</f>
        <v>67.64696396671782</v>
      </c>
      <c r="AE124" s="24">
        <f>IF(AC124="",0,IF(EXACT(RIGHT(AC124,5),"dB(A)"),IF(ABS(VALUE(LEFT(AC124,FIND(" ",AC124,1)))-AD124)&lt;=0.5,1,-1),-1))</f>
        <v>1</v>
      </c>
      <c r="AF124" s="12" t="s">
        <v>1405</v>
      </c>
      <c r="AG124" s="26">
        <f>90+K124+10*LOG10(4/(0.16*(300+J124*20)/(1+L124/10)))+3</f>
        <v>88.886340705809744</v>
      </c>
      <c r="AH124" s="24">
        <f>IF(AF124="",0,IF(EXACT(RIGHT(AF124,2),"dB"),IF(ABS(VALUE(LEFT(AF124,FIND(" ",AF124,1)))-AG124)&lt;=0.5,1,-1),-1))</f>
        <v>-1</v>
      </c>
      <c r="AI124" s="12" t="s">
        <v>1406</v>
      </c>
      <c r="AJ124" s="26">
        <f>10*LOG10(3+40*(2*SQRT(((10+K124)/2)^2+(3+L124/10)^2)-(10+K124))*100*(1+J124)/340)</f>
        <v>20.203902294780626</v>
      </c>
      <c r="AK124" s="24">
        <f>IF(AI124="",0,IF(EXACT(RIGHT(AI124,2),"dB"),IF(ABS(VALUE(LEFT(AI124,FIND(" ",AI124,1)))-AJ124)&lt;=0.5,1,-1),-1))</f>
        <v>1</v>
      </c>
      <c r="AL124" s="12" t="s">
        <v>1407</v>
      </c>
      <c r="AM124" s="26">
        <f>80+L124-(80+K124)</f>
        <v>-4</v>
      </c>
      <c r="AN124" s="24">
        <f>IF(AL124="",0,IF(EXACT(RIGHT(AL124,2),"dB"),IF(ABS(VALUE(LEFT(AL124,FIND(" ",AL124,1)))-AM124)&lt;=0.5,1,-1),-1))</f>
        <v>1</v>
      </c>
      <c r="AO124" s="12" t="s">
        <v>1408</v>
      </c>
      <c r="AP124" s="30">
        <f>((2^(5+L124))/2+1)/48</f>
        <v>2.6875</v>
      </c>
      <c r="AQ124" s="24">
        <f>IF(AO124="",0,IF(EXACT(RIGHT(AO124,2),"ms"),IF(ABS(VALUE(LEFT(AO124,FIND(" ",AO124,1)))-AP124)/AP124&lt;=0.02,1,-1),-1))</f>
        <v>-1</v>
      </c>
      <c r="AR124" s="39">
        <f>M124+P124+S124+V124+Y124+AB124+AE124+AH124+AK124+AN124+AQ124</f>
        <v>7</v>
      </c>
    </row>
    <row r="125" spans="1:44" ht="13.2">
      <c r="A125" s="41">
        <v>123</v>
      </c>
      <c r="B125" s="42">
        <v>41992.761792905098</v>
      </c>
      <c r="C125" s="12" t="s">
        <v>309</v>
      </c>
      <c r="D125" s="12" t="s">
        <v>310</v>
      </c>
      <c r="E125" s="12">
        <v>235005</v>
      </c>
      <c r="F125" s="23">
        <v>1</v>
      </c>
      <c r="G125" s="23">
        <f>INT(E125/100000)</f>
        <v>2</v>
      </c>
      <c r="H125" s="23">
        <f>INT(($E125-100000*G125)/10000)</f>
        <v>3</v>
      </c>
      <c r="I125" s="23">
        <f>INT(($E125-100000*G125-10000*H125)/1000)</f>
        <v>5</v>
      </c>
      <c r="J125" s="23">
        <f>INT(($E125-100000*$G125-10000*$H125-1000*$I125)/100)</f>
        <v>0</v>
      </c>
      <c r="K125" s="23">
        <f>INT(($E125-100000*$G125-10000*$H125-1000*$I125-100*$J125)/10)</f>
        <v>0</v>
      </c>
      <c r="L125" s="23">
        <f>INT(($E125-100000*$G125-10000*$H125-1000*$I125-100*$J125-10*$K125))</f>
        <v>5</v>
      </c>
      <c r="M125" s="24">
        <v>2</v>
      </c>
      <c r="N125" s="12" t="s">
        <v>311</v>
      </c>
      <c r="O125" s="26">
        <f>65+K125+10*LOG10(70+L125)+10*LOG10(100/(100+J125*20))</f>
        <v>83.750612633917001</v>
      </c>
      <c r="P125" s="24">
        <f>IF(N125="",0,IF(EXACT(RIGHT(N125,5),"dB(A)"),IF(ABS(VALUE(LEFT(N125,FIND(" ",N125,1)))-O125)&lt;=0.5,1,-1),-1))</f>
        <v>1</v>
      </c>
      <c r="Q125" s="12" t="s">
        <v>312</v>
      </c>
      <c r="R125" s="26">
        <f>10*LOG10(10^((80+G125)/10)*(10+L125)*1000/16/3600+10^((85+H125)/10)*(10+K125)*3000/16/3600+10^((90+J125)/10)*(10+J125)*100/16/3600)</f>
        <v>85.880003850273482</v>
      </c>
      <c r="S125" s="24">
        <f>IF(Q125="",0,IF(EXACT(RIGHT(Q125,5),"dB(A)"),IF(ABS(VALUE(LEFT(Q125,FIND(" ",Q125,1)))-R125)&lt;=0.5,1,-1),-1))</f>
        <v>-1</v>
      </c>
      <c r="T125" s="12" t="s">
        <v>313</v>
      </c>
      <c r="U125" s="30">
        <f>4*(500+K125*10+L125)/(400+J125*10)/340*SQRT(8192/4/0.1)</f>
        <v>2.1255799127292119</v>
      </c>
      <c r="V125" s="24">
        <f>IF(T125="",0,IF(EXACT(RIGHT(T125,2)," s"),IF(ABS(VALUE(LEFT(T125,FIND(" ",T125,1)))-U125)&lt;=0.005,1,-1),-1))</f>
        <v>1</v>
      </c>
      <c r="W125" s="12">
        <v>8192</v>
      </c>
      <c r="X125" s="36">
        <f>8*2^(5+L125)</f>
        <v>8192</v>
      </c>
      <c r="Y125" s="24">
        <f>IF(W125="",0,IF(ABS(W125-X125)&lt;=1,1,-1))</f>
        <v>1</v>
      </c>
      <c r="Z125" s="43"/>
      <c r="AA125" s="26">
        <f>10*LOG10(10^((60+L125-39.4)/10)+10^((63+L125-26.2)/10)+10^((66+L125-16.1)/10)+10^((69+L125-8.6)/10)+10^((72+L125-3.2)/10)+10^((75+L125)/10)+10^((78+L125+1.2)/10)+10^((81+L125+1)/10)+10^((84+L125-1.1)/10)+10^((87+L125-6.6)/10))</f>
        <v>92.684202566927439</v>
      </c>
      <c r="AB125" s="24">
        <f>IF(Z125="",0,IF(EXACT(RIGHT(Z125,5),"dB(A)"),IF(ABS(VALUE(LEFT(Z125,FIND(" ",Z125,1)))-AA125)&lt;=0.2,1,-1),-1))</f>
        <v>0</v>
      </c>
      <c r="AC125" s="45" t="s">
        <v>314</v>
      </c>
      <c r="AD125" s="26">
        <f>10*LOG10((10^((60+L125)/10)*(1+J125)+10^((65+K125)/10)*(2+I125/3))/(1+J125+2+I125/3))</f>
        <v>65.000000000000014</v>
      </c>
      <c r="AE125" s="24">
        <f>IF(AC125="",0,IF(EXACT(RIGHT(AC125,5),"dB(A)"),IF(ABS(VALUE(LEFT(AC125,FIND(" ",AC125,1)))-AD125)&lt;=0.5,1,-1),-1))</f>
        <v>1</v>
      </c>
      <c r="AF125" s="45" t="s">
        <v>315</v>
      </c>
      <c r="AG125" s="26">
        <f>90+K125+10*LOG10(4/(0.16*(300+J125*20)/(1+L125/10)))+3</f>
        <v>83.969100130080562</v>
      </c>
      <c r="AH125" s="24">
        <f>IF(AF125="",0,IF(EXACT(RIGHT(AF125,2),"dB"),IF(ABS(VALUE(LEFT(AF125,FIND(" ",AF125,1)))-AG125)&lt;=0.5,1,-1),-1))</f>
        <v>1</v>
      </c>
      <c r="AI125" s="12" t="s">
        <v>316</v>
      </c>
      <c r="AJ125" s="26">
        <f>10*LOG10(3+40*(2*SQRT(((10+K125)/2)^2+(3+L125/10)^2)-(10+K125))*100*(1+J125)/340)</f>
        <v>14.617907268394914</v>
      </c>
      <c r="AK125" s="24">
        <f>IF(AI125="",0,IF(EXACT(RIGHT(AI125,2),"dB"),IF(ABS(VALUE(LEFT(AI125,FIND(" ",AI125,1)))-AJ125)&lt;=0.5,1,-1),-1))</f>
        <v>-1</v>
      </c>
      <c r="AL125" s="12" t="s">
        <v>317</v>
      </c>
      <c r="AM125" s="26">
        <f>80+L125-(80+K125)</f>
        <v>5</v>
      </c>
      <c r="AN125" s="24">
        <f>IF(AL125="",0,IF(EXACT(RIGHT(AL125,2),"dB"),IF(ABS(VALUE(LEFT(AL125,FIND(" ",AL125,1)))-AM125)&lt;=0.5,1,-1),-1))</f>
        <v>1</v>
      </c>
      <c r="AO125" s="12" t="s">
        <v>318</v>
      </c>
      <c r="AP125" s="30">
        <f>((2^(5+L125))/2+1)/48</f>
        <v>10.6875</v>
      </c>
      <c r="AQ125" s="24">
        <f>IF(AO125="",0,IF(EXACT(RIGHT(AO125,2),"ms"),IF(ABS(VALUE(LEFT(AO125,FIND(" ",AO125,1)))-AP125)/AP125&lt;=0.02,1,-1),-1))</f>
        <v>1</v>
      </c>
      <c r="AR125" s="39">
        <f>M125+P125+S125+V125+Y125+AB125+AE125+AH125+AK125+AN125+AQ125</f>
        <v>7</v>
      </c>
    </row>
    <row r="126" spans="1:44" ht="13.2">
      <c r="A126" s="41">
        <v>124</v>
      </c>
      <c r="B126" s="42">
        <v>41992.754509027778</v>
      </c>
      <c r="C126" s="12" t="s">
        <v>79</v>
      </c>
      <c r="D126" s="12" t="s">
        <v>80</v>
      </c>
      <c r="E126" s="12">
        <v>240609</v>
      </c>
      <c r="F126" s="23">
        <v>1</v>
      </c>
      <c r="G126" s="23">
        <f>INT(E126/100000)</f>
        <v>2</v>
      </c>
      <c r="H126" s="23">
        <f>INT(($E126-100000*G126)/10000)</f>
        <v>4</v>
      </c>
      <c r="I126" s="23">
        <f>INT(($E126-100000*G126-10000*H126)/1000)</f>
        <v>0</v>
      </c>
      <c r="J126" s="23">
        <f>INT(($E126-100000*$G126-10000*$H126-1000*$I126)/100)</f>
        <v>6</v>
      </c>
      <c r="K126" s="23">
        <f>INT(($E126-100000*$G126-10000*$H126-1000*$I126-100*$J126)/10)</f>
        <v>0</v>
      </c>
      <c r="L126" s="23">
        <f>INT(($E126-100000*$G126-10000*$H126-1000*$I126-100*$J126-10*$K126))</f>
        <v>9</v>
      </c>
      <c r="M126" s="24">
        <v>2</v>
      </c>
      <c r="N126" s="12" t="s">
        <v>81</v>
      </c>
      <c r="O126" s="26">
        <f>65+K126+10*LOG10(70+L126)+10*LOG10(100/(100+J126*20))</f>
        <v>80.552044104682352</v>
      </c>
      <c r="P126" s="24">
        <f>IF(N126="",0,IF(EXACT(RIGHT(N126,5),"dB(A)"),IF(ABS(VALUE(LEFT(N126,FIND(" ",N126,1)))-O126)&lt;=0.5,1,-1),-1))</f>
        <v>1</v>
      </c>
      <c r="Q126" s="12" t="s">
        <v>82</v>
      </c>
      <c r="R126" s="26">
        <f>10*LOG10(10^((80+G126)/10)*(10+L126)*1000/16/3600+10^((85+H126)/10)*(10+K126)*3000/16/3600+10^((90+J126)/10)*(10+J126)*100/16/3600)</f>
        <v>87.608576232208236</v>
      </c>
      <c r="S126" s="24">
        <f>IF(Q126="",0,IF(EXACT(RIGHT(Q126,5),"dB(A)"),IF(ABS(VALUE(LEFT(Q126,FIND(" ",Q126,1)))-R126)&lt;=0.5,1,-1),-1))</f>
        <v>-1</v>
      </c>
      <c r="T126" s="12" t="s">
        <v>83</v>
      </c>
      <c r="U126" s="30">
        <f>4*(500+K126*10+L126)/(400+J126*10)/340*SQRT(8192/4/0.1)</f>
        <v>1.8629705993614616</v>
      </c>
      <c r="V126" s="24">
        <f>IF(T126="",0,IF(EXACT(RIGHT(T126,2)," s"),IF(ABS(VALUE(LEFT(T126,FIND(" ",T126,1)))-U126)&lt;=0.005,1,-1),-1))</f>
        <v>1</v>
      </c>
      <c r="W126" s="12">
        <v>131072</v>
      </c>
      <c r="X126" s="36">
        <f>8*2^(5+L126)</f>
        <v>131072</v>
      </c>
      <c r="Y126" s="24">
        <f>IF(W126="",0,IF(ABS(W126-X126)&lt;=1,1,-1))</f>
        <v>1</v>
      </c>
      <c r="Z126" s="43"/>
      <c r="AA126" s="26">
        <f>10*LOG10(10^((60+L126-39.4)/10)+10^((63+L126-26.2)/10)+10^((66+L126-16.1)/10)+10^((69+L126-8.6)/10)+10^((72+L126-3.2)/10)+10^((75+L126)/10)+10^((78+L126+1.2)/10)+10^((81+L126+1)/10)+10^((84+L126-1.1)/10)+10^((87+L126-6.6)/10))</f>
        <v>96.684202566927439</v>
      </c>
      <c r="AB126" s="24">
        <f>IF(Z126="",0,IF(EXACT(RIGHT(Z126,5),"dB(A)"),IF(ABS(VALUE(LEFT(Z126,FIND(" ",Z126,1)))-AA126)&lt;=0.2,1,-1),-1))</f>
        <v>0</v>
      </c>
      <c r="AC126" s="12" t="s">
        <v>84</v>
      </c>
      <c r="AD126" s="26">
        <f>10*LOG10((10^((60+L126)/10)*(1+J126)+10^((65+K126)/10)*(2+I126/3))/(1+J126+2+I126/3))</f>
        <v>68.376412612166732</v>
      </c>
      <c r="AE126" s="24">
        <f>IF(AC126="",0,IF(EXACT(RIGHT(AC126,5),"dB(A)"),IF(ABS(VALUE(LEFT(AC126,FIND(" ",AC126,1)))-AD126)&lt;=0.5,1,-1),-1))</f>
        <v>1</v>
      </c>
      <c r="AF126" s="43"/>
      <c r="AG126" s="26">
        <f>90+K126+10*LOG10(4/(0.16*(300+J126*20)/(1+L126/10)))+3</f>
        <v>83.534443192269663</v>
      </c>
      <c r="AH126" s="24">
        <f>IF(AF126="",0,IF(EXACT(RIGHT(AF126,2),"dB"),IF(ABS(VALUE(LEFT(AF126,FIND(" ",AF126,1)))-AG126)&lt;=0.5,1,-1),-1))</f>
        <v>0</v>
      </c>
      <c r="AI126" s="12" t="s">
        <v>85</v>
      </c>
      <c r="AJ126" s="26">
        <f>10*LOG10(3+40*(2*SQRT(((10+K126)/2)^2+(3+L126/10)^2)-(10+K126))*100*(1+J126)/340)</f>
        <v>23.500403474141372</v>
      </c>
      <c r="AK126" s="24">
        <f>IF(AI126="",0,IF(EXACT(RIGHT(AI126,2),"dB"),IF(ABS(VALUE(LEFT(AI126,FIND(" ",AI126,1)))-AJ126)&lt;=0.5,1,-1),-1))</f>
        <v>-1</v>
      </c>
      <c r="AL126" s="12" t="s">
        <v>86</v>
      </c>
      <c r="AM126" s="26">
        <f>80+L126-(80+K126)</f>
        <v>9</v>
      </c>
      <c r="AN126" s="24">
        <f>IF(AL126="",0,IF(EXACT(RIGHT(AL126,2),"dB"),IF(ABS(VALUE(LEFT(AL126,FIND(" ",AL126,1)))-AM126)&lt;=0.5,1,-1),-1))</f>
        <v>1</v>
      </c>
      <c r="AO126" s="12" t="s">
        <v>87</v>
      </c>
      <c r="AP126" s="30">
        <f>((2^(5+L126))/2+1)/48</f>
        <v>170.6875</v>
      </c>
      <c r="AQ126" s="24">
        <f>IF(AO126="",0,IF(EXACT(RIGHT(AO126,2),"ms"),IF(ABS(VALUE(LEFT(AO126,FIND(" ",AO126,1)))-AP126)/AP126&lt;=0.02,1,-1),-1))</f>
        <v>1</v>
      </c>
      <c r="AR126" s="39">
        <f>M126+P126+S126+V126+Y126+AB126+AE126+AH126+AK126+AN126+AQ126</f>
        <v>6</v>
      </c>
    </row>
    <row r="127" spans="1:44" ht="13.2">
      <c r="A127" s="41">
        <v>125</v>
      </c>
      <c r="B127" s="42">
        <v>41992.765145856487</v>
      </c>
      <c r="C127" s="12" t="s">
        <v>756</v>
      </c>
      <c r="D127" s="12" t="s">
        <v>757</v>
      </c>
      <c r="E127" s="12">
        <v>260512</v>
      </c>
      <c r="F127" s="23">
        <v>1</v>
      </c>
      <c r="G127" s="23">
        <f>INT(E127/100000)</f>
        <v>2</v>
      </c>
      <c r="H127" s="23">
        <f>INT(($E127-100000*G127)/10000)</f>
        <v>6</v>
      </c>
      <c r="I127" s="23">
        <f>INT(($E127-100000*G127-10000*H127)/1000)</f>
        <v>0</v>
      </c>
      <c r="J127" s="23">
        <f>INT(($E127-100000*$G127-10000*$H127-1000*$I127)/100)</f>
        <v>5</v>
      </c>
      <c r="K127" s="23">
        <f>INT(($E127-100000*$G127-10000*$H127-1000*$I127-100*$J127)/10)</f>
        <v>1</v>
      </c>
      <c r="L127" s="23">
        <f>INT(($E127-100000*$G127-10000*$H127-1000*$I127-100*$J127-10*$K127))</f>
        <v>2</v>
      </c>
      <c r="M127" s="24">
        <v>2</v>
      </c>
      <c r="N127" s="12" t="s">
        <v>758</v>
      </c>
      <c r="O127" s="26">
        <f>65+K127+10*LOG10(70+L127)+10*LOG10(100/(100+J127*20))</f>
        <v>81.563025007672877</v>
      </c>
      <c r="P127" s="24">
        <f>IF(N127="",0,IF(EXACT(RIGHT(N127,5),"dB(A)"),IF(ABS(VALUE(LEFT(N127,FIND(" ",N127,1)))-O127)&lt;=0.5,1,-1),-1))</f>
        <v>1</v>
      </c>
      <c r="Q127" s="43"/>
      <c r="R127" s="26">
        <f>10*LOG10(10^((80+G127)/10)*(10+L127)*1000/16/3600+10^((85+H127)/10)*(10+K127)*3000/16/3600+10^((90+J127)/10)*(10+J127)*100/16/3600)</f>
        <v>89.225328829695655</v>
      </c>
      <c r="S127" s="24">
        <f>IF(Q127="",0,IF(EXACT(RIGHT(Q127,5),"dB(A)"),IF(ABS(VALUE(LEFT(Q127,FIND(" ",Q127,1)))-R127)&lt;=0.5,1,-1),-1))</f>
        <v>0</v>
      </c>
      <c r="T127" s="12" t="s">
        <v>759</v>
      </c>
      <c r="U127" s="30">
        <f>4*(500+K127*10+L127)/(400+J127*10)/340*SQRT(8192/4/0.1)</f>
        <v>1.9155941303715844</v>
      </c>
      <c r="V127" s="24">
        <f>IF(T127="",0,IF(EXACT(RIGHT(T127,2)," s"),IF(ABS(VALUE(LEFT(T127,FIND(" ",T127,1)))-U127)&lt;=0.005,1,-1),-1))</f>
        <v>1</v>
      </c>
      <c r="W127" s="12">
        <v>1024</v>
      </c>
      <c r="X127" s="36">
        <f>8*2^(5+L127)</f>
        <v>1024</v>
      </c>
      <c r="Y127" s="24">
        <f>IF(W127="",0,IF(ABS(W127-X127)&lt;=1,1,-1))</f>
        <v>1</v>
      </c>
      <c r="Z127" s="43"/>
      <c r="AA127" s="26">
        <f>10*LOG10(10^((60+L127-39.4)/10)+10^((63+L127-26.2)/10)+10^((66+L127-16.1)/10)+10^((69+L127-8.6)/10)+10^((72+L127-3.2)/10)+10^((75+L127)/10)+10^((78+L127+1.2)/10)+10^((81+L127+1)/10)+10^((84+L127-1.1)/10)+10^((87+L127-6.6)/10))</f>
        <v>89.684202566927453</v>
      </c>
      <c r="AB127" s="24">
        <f>IF(Z127="",0,IF(EXACT(RIGHT(Z127,5),"dB(A)"),IF(ABS(VALUE(LEFT(Z127,FIND(" ",Z127,1)))-AA127)&lt;=0.2,1,-1),-1))</f>
        <v>0</v>
      </c>
      <c r="AC127" s="12" t="s">
        <v>760</v>
      </c>
      <c r="AD127" s="26">
        <f>10*LOG10((10^((60+L127)/10)*(1+J127)+10^((65+K127)/10)*(2+I127/3))/(1+J127+2+I127/3))</f>
        <v>63.392402693356082</v>
      </c>
      <c r="AE127" s="24">
        <f>IF(AC127="",0,IF(EXACT(RIGHT(AC127,5),"dB(A)"),IF(ABS(VALUE(LEFT(AC127,FIND(" ",AC127,1)))-AD127)&lt;=0.5,1,-1),-1))</f>
        <v>1</v>
      </c>
      <c r="AF127" s="43"/>
      <c r="AG127" s="26">
        <f>90+K127+10*LOG10(4/(0.16*(300+J127*20)/(1+L127/10)))+3</f>
        <v>82.750612633917001</v>
      </c>
      <c r="AH127" s="24">
        <f>IF(AF127="",0,IF(EXACT(RIGHT(AF127,2),"dB"),IF(ABS(VALUE(LEFT(AF127,FIND(" ",AF127,1)))-AG127)&lt;=0.5,1,-1),-1))</f>
        <v>0</v>
      </c>
      <c r="AI127" s="43"/>
      <c r="AJ127" s="26">
        <f>10*LOG10(3+40*(2*SQRT(((10+K127)/2)^2+(3+L127/10)^2)-(10+K127))*100*(1+J127)/340)</f>
        <v>20.964234818246496</v>
      </c>
      <c r="AK127" s="24">
        <f>IF(AI127="",0,IF(EXACT(RIGHT(AI127,2),"dB"),IF(ABS(VALUE(LEFT(AI127,FIND(" ",AI127,1)))-AJ127)&lt;=0.5,1,-1),-1))</f>
        <v>0</v>
      </c>
      <c r="AL127" s="43"/>
      <c r="AM127" s="26">
        <f>80+L127-(80+K127)</f>
        <v>1</v>
      </c>
      <c r="AN127" s="24">
        <f>IF(AL127="",0,IF(EXACT(RIGHT(AL127,2),"dB"),IF(ABS(VALUE(LEFT(AL127,FIND(" ",AL127,1)))-AM127)&lt;=0.5,1,-1),-1))</f>
        <v>0</v>
      </c>
      <c r="AO127" s="43"/>
      <c r="AP127" s="30">
        <f>((2^(5+L127))/2+1)/48</f>
        <v>1.3541666666666667</v>
      </c>
      <c r="AQ127" s="24">
        <f>IF(AO127="",0,IF(EXACT(RIGHT(AO127,2),"ms"),IF(ABS(VALUE(LEFT(AO127,FIND(" ",AO127,1)))-AP127)/AP127&lt;=0.02,1,-1),-1))</f>
        <v>0</v>
      </c>
      <c r="AR127" s="39">
        <f>M127+P127+S127+V127+Y127+AB127+AE127+AH127+AK127+AN127+AQ127</f>
        <v>6</v>
      </c>
    </row>
    <row r="128" spans="1:44" ht="13.2">
      <c r="A128" s="41">
        <v>126</v>
      </c>
      <c r="B128" s="42">
        <v>41992.765303831016</v>
      </c>
      <c r="C128" s="12" t="s">
        <v>783</v>
      </c>
      <c r="D128" s="12" t="s">
        <v>784</v>
      </c>
      <c r="E128" s="12">
        <v>231840</v>
      </c>
      <c r="F128" s="23">
        <v>1</v>
      </c>
      <c r="G128" s="23">
        <f>INT(E128/100000)</f>
        <v>2</v>
      </c>
      <c r="H128" s="23">
        <f>INT(($E128-100000*G128)/10000)</f>
        <v>3</v>
      </c>
      <c r="I128" s="23">
        <f>INT(($E128-100000*G128-10000*H128)/1000)</f>
        <v>1</v>
      </c>
      <c r="J128" s="23">
        <f>INT(($E128-100000*$G128-10000*$H128-1000*$I128)/100)</f>
        <v>8</v>
      </c>
      <c r="K128" s="23">
        <f>INT(($E128-100000*$G128-10000*$H128-1000*$I128-100*$J128)/10)</f>
        <v>4</v>
      </c>
      <c r="L128" s="23">
        <f>INT(($E128-100000*$G128-10000*$H128-1000*$I128-100*$J128-10*$K128))</f>
        <v>0</v>
      </c>
      <c r="M128" s="24">
        <v>2</v>
      </c>
      <c r="N128" s="12" t="s">
        <v>785</v>
      </c>
      <c r="O128" s="26">
        <f>65+K128+10*LOG10(70+L128)+10*LOG10(100/(100+J128*20))</f>
        <v>83.301246920434394</v>
      </c>
      <c r="P128" s="24">
        <f>IF(N128="",0,IF(EXACT(RIGHT(N128,5),"dB(A)"),IF(ABS(VALUE(LEFT(N128,FIND(" ",N128,1)))-O128)&lt;=0.5,1,-1),-1))</f>
        <v>1</v>
      </c>
      <c r="Q128" s="12" t="s">
        <v>786</v>
      </c>
      <c r="R128" s="26">
        <f>10*LOG10(10^((80+G128)/10)*(10+L128)*1000/16/3600+10^((85+H128)/10)*(10+K128)*3000/16/3600+10^((90+J128)/10)*(10+J128)*100/16/3600)</f>
        <v>88.355401214535704</v>
      </c>
      <c r="S128" s="24">
        <f>IF(Q128="",0,IF(EXACT(RIGHT(Q128,5),"dB(A)"),IF(ABS(VALUE(LEFT(Q128,FIND(" ",Q128,1)))-R128)&lt;=0.5,1,-1),-1))</f>
        <v>1</v>
      </c>
      <c r="T128" s="45" t="s">
        <v>787</v>
      </c>
      <c r="U128" s="30">
        <f>4*(500+K128*10+L128)/(400+J128*10)/340*SQRT(8192/4/0.1)</f>
        <v>1.8940811103527631</v>
      </c>
      <c r="V128" s="24">
        <f>IF(T128="",0,IF(EXACT(RIGHT(T128,2)," s"),IF(ABS(VALUE(LEFT(T128,FIND(" ",T128,1)))-U128)&lt;=0.005,1,-1),-1))</f>
        <v>-1</v>
      </c>
      <c r="W128" s="12">
        <v>256</v>
      </c>
      <c r="X128" s="36">
        <f>8*2^(5+L128)</f>
        <v>256</v>
      </c>
      <c r="Y128" s="24">
        <f>IF(W128="",0,IF(ABS(W128-X128)&lt;=1,1,-1))</f>
        <v>1</v>
      </c>
      <c r="Z128" s="12" t="s">
        <v>788</v>
      </c>
      <c r="AA128" s="26">
        <f>10*LOG10(10^((60+L128-39.4)/10)+10^((63+L128-26.2)/10)+10^((66+L128-16.1)/10)+10^((69+L128-8.6)/10)+10^((72+L128-3.2)/10)+10^((75+L128)/10)+10^((78+L128+1.2)/10)+10^((81+L128+1)/10)+10^((84+L128-1.1)/10)+10^((87+L128-6.6)/10))</f>
        <v>87.684202566927468</v>
      </c>
      <c r="AB128" s="24">
        <f>IF(Z128="",0,IF(EXACT(RIGHT(Z128,5),"dB(A)"),IF(ABS(VALUE(LEFT(Z128,FIND(" ",Z128,1)))-AA128)&lt;=0.2,1,-1),-1))</f>
        <v>1</v>
      </c>
      <c r="AC128" s="12" t="s">
        <v>789</v>
      </c>
      <c r="AD128" s="26">
        <f>10*LOG10((10^((60+L128)/10)*(1+J128)+10^((65+K128)/10)*(2+I128/3))/(1+J128+2+I128/3))</f>
        <v>63.855167794807841</v>
      </c>
      <c r="AE128" s="24">
        <f>IF(AC128="",0,IF(EXACT(RIGHT(AC128,5),"dB(A)"),IF(ABS(VALUE(LEFT(AC128,FIND(" ",AC128,1)))-AD128)&lt;=0.5,1,-1),-1))</f>
        <v>1</v>
      </c>
      <c r="AF128" s="12" t="s">
        <v>790</v>
      </c>
      <c r="AG128" s="26">
        <f>90+K128+10*LOG10(4/(0.16*(300+J128*20)/(1+L128/10)))+3</f>
        <v>84.351821769904632</v>
      </c>
      <c r="AH128" s="24">
        <f>IF(AF128="",0,IF(EXACT(RIGHT(AF128,2),"dB"),IF(ABS(VALUE(LEFT(AF128,FIND(" ",AF128,1)))-AG128)&lt;=0.5,1,-1),-1))</f>
        <v>1</v>
      </c>
      <c r="AI128" s="12" t="s">
        <v>791</v>
      </c>
      <c r="AJ128" s="26">
        <f>10*LOG10(3+40*(2*SQRT(((10+K128)/2)^2+(3+L128/10)^2)-(10+K128))*100*(1+J128)/340)</f>
        <v>21.251526086712023</v>
      </c>
      <c r="AK128" s="24">
        <f>IF(AI128="",0,IF(EXACT(RIGHT(AI128,2),"dB"),IF(ABS(VALUE(LEFT(AI128,FIND(" ",AI128,1)))-AJ128)&lt;=0.5,1,-1),-1))</f>
        <v>-1</v>
      </c>
      <c r="AL128" s="12" t="s">
        <v>792</v>
      </c>
      <c r="AM128" s="26">
        <f>80+L128-(80+K128)</f>
        <v>-4</v>
      </c>
      <c r="AN128" s="24">
        <f>IF(AL128="",0,IF(EXACT(RIGHT(AL128,2),"dB"),IF(ABS(VALUE(LEFT(AL128,FIND(" ",AL128,1)))-AM128)&lt;=0.5,1,-1),-1))</f>
        <v>1</v>
      </c>
      <c r="AO128" s="12" t="s">
        <v>793</v>
      </c>
      <c r="AP128" s="30">
        <f>((2^(5+L128))/2+1)/48</f>
        <v>0.35416666666666669</v>
      </c>
      <c r="AQ128" s="24">
        <f>IF(AO128="",0,IF(EXACT(RIGHT(AO128,2),"ms"),IF(ABS(VALUE(LEFT(AO128,FIND(" ",AO128,1)))-AP128)/AP128&lt;=0.02,1,-1),-1))</f>
        <v>-1</v>
      </c>
      <c r="AR128" s="39">
        <f>M128+P128+S128+V128+Y128+AB128+AE128+AH128+AK128+AN128+AQ128</f>
        <v>6</v>
      </c>
    </row>
    <row r="129" spans="1:44" ht="13.2">
      <c r="A129" s="41">
        <v>127</v>
      </c>
      <c r="B129" s="42">
        <v>41992.765693981477</v>
      </c>
      <c r="C129" s="12" t="s">
        <v>868</v>
      </c>
      <c r="D129" s="12" t="s">
        <v>869</v>
      </c>
      <c r="E129" s="12">
        <v>232299</v>
      </c>
      <c r="F129" s="23">
        <v>1</v>
      </c>
      <c r="G129" s="23">
        <f>INT(E129/100000)</f>
        <v>2</v>
      </c>
      <c r="H129" s="23">
        <f>INT(($E129-100000*G129)/10000)</f>
        <v>3</v>
      </c>
      <c r="I129" s="23">
        <f>INT(($E129-100000*G129-10000*H129)/1000)</f>
        <v>2</v>
      </c>
      <c r="J129" s="23">
        <f>INT(($E129-100000*$G129-10000*$H129-1000*$I129)/100)</f>
        <v>2</v>
      </c>
      <c r="K129" s="23">
        <f>INT(($E129-100000*$G129-10000*$H129-1000*$I129-100*$J129)/10)</f>
        <v>9</v>
      </c>
      <c r="L129" s="23">
        <f>INT(($E129-100000*$G129-10000*$H129-1000*$I129-100*$J129-10*$K129))</f>
        <v>9</v>
      </c>
      <c r="M129" s="24">
        <v>2</v>
      </c>
      <c r="N129" s="12" t="s">
        <v>870</v>
      </c>
      <c r="O129" s="26">
        <f>65+K129+10*LOG10(70+L129)+10*LOG10(100/(100+J129*20))</f>
        <v>91.514990556122029</v>
      </c>
      <c r="P129" s="24">
        <f>IF(N129="",0,IF(EXACT(RIGHT(N129,5),"dB(A)"),IF(ABS(VALUE(LEFT(N129,FIND(" ",N129,1)))-O129)&lt;=0.5,1,-1),-1))</f>
        <v>1</v>
      </c>
      <c r="Q129" s="12" t="s">
        <v>871</v>
      </c>
      <c r="R129" s="26">
        <f>10*LOG10(10^((80+G129)/10)*(10+L129)*1000/16/3600+10^((85+H129)/10)*(10+K129)*3000/16/3600+10^((90+J129)/10)*(10+J129)*100/16/3600)</f>
        <v>88.510643673884104</v>
      </c>
      <c r="S129" s="24">
        <f>IF(Q129="",0,IF(EXACT(RIGHT(Q129,5),"dB(A)"),IF(ABS(VALUE(LEFT(Q129,FIND(" ",Q129,1)))-R129)&lt;=0.5,1,-1),-1))</f>
        <v>1</v>
      </c>
      <c r="T129" s="12" t="s">
        <v>872</v>
      </c>
      <c r="U129" s="30">
        <f>4*(500+K129*10+L129)/(400+J129*10)/340*SQRT(8192/4/0.1)</f>
        <v>2.4011737250821272</v>
      </c>
      <c r="V129" s="24">
        <f>IF(T129="",0,IF(EXACT(RIGHT(T129,2)," s"),IF(ABS(VALUE(LEFT(T129,FIND(" ",T129,1)))-U129)&lt;=0.005,1,-1),-1))</f>
        <v>1</v>
      </c>
      <c r="W129" s="12">
        <v>131072</v>
      </c>
      <c r="X129" s="36">
        <f>8*2^(5+L129)</f>
        <v>131072</v>
      </c>
      <c r="Y129" s="24">
        <f>IF(W129="",0,IF(ABS(W129-X129)&lt;=1,1,-1))</f>
        <v>1</v>
      </c>
      <c r="Z129" s="43"/>
      <c r="AA129" s="26">
        <f>10*LOG10(10^((60+L129-39.4)/10)+10^((63+L129-26.2)/10)+10^((66+L129-16.1)/10)+10^((69+L129-8.6)/10)+10^((72+L129-3.2)/10)+10^((75+L129)/10)+10^((78+L129+1.2)/10)+10^((81+L129+1)/10)+10^((84+L129-1.1)/10)+10^((87+L129-6.6)/10))</f>
        <v>96.684202566927439</v>
      </c>
      <c r="AB129" s="24">
        <f>IF(Z129="",0,IF(EXACT(RIGHT(Z129,5),"dB(A)"),IF(ABS(VALUE(LEFT(Z129,FIND(" ",Z129,1)))-AA129)&lt;=0.2,1,-1),-1))</f>
        <v>0</v>
      </c>
      <c r="AC129" s="12" t="s">
        <v>873</v>
      </c>
      <c r="AD129" s="26">
        <f>10*LOG10((10^((60+L129)/10)*(1+J129)+10^((65+K129)/10)*(2+I129/3))/(1+J129+2+I129/3))</f>
        <v>72.048226765733546</v>
      </c>
      <c r="AE129" s="24">
        <f>IF(AC129="",0,IF(EXACT(RIGHT(AC129,5),"dB(A)"),IF(ABS(VALUE(LEFT(AC129,FIND(" ",AC129,1)))-AD129)&lt;=0.5,1,-1),-1))</f>
        <v>-1</v>
      </c>
      <c r="AF129" s="12" t="s">
        <v>874</v>
      </c>
      <c r="AG129" s="26">
        <f>90+K129+10*LOG10(4/(0.16*(300+J129*20)/(1+L129/10)))+3</f>
        <v>93.452146925826113</v>
      </c>
      <c r="AH129" s="24">
        <f>IF(AF129="",0,IF(EXACT(RIGHT(AF129,2),"dB"),IF(ABS(VALUE(LEFT(AF129,FIND(" ",AF129,1)))-AG129)&lt;=0.5,1,-1),-1))</f>
        <v>1</v>
      </c>
      <c r="AI129" s="12" t="s">
        <v>875</v>
      </c>
      <c r="AJ129" s="26">
        <f>10*LOG10(3+40*(2*SQRT(((10+K129)/2)^2+(3+L129/10)^2)-(10+K129))*100*(1+J129)/340)</f>
        <v>17.582198551089657</v>
      </c>
      <c r="AK129" s="24">
        <f>IF(AI129="",0,IF(EXACT(RIGHT(AI129,2),"dB"),IF(ABS(VALUE(LEFT(AI129,FIND(" ",AI129,1)))-AJ129)&lt;=0.5,1,-1),-1))</f>
        <v>-1</v>
      </c>
      <c r="AL129" s="12" t="s">
        <v>876</v>
      </c>
      <c r="AM129" s="26">
        <f>80+L129-(80+K129)</f>
        <v>0</v>
      </c>
      <c r="AN129" s="24">
        <f>IF(AL129="",0,IF(EXACT(RIGHT(AL129,2),"dB"),IF(ABS(VALUE(LEFT(AL129,FIND(" ",AL129,1)))-AM129)&lt;=0.5,1,-1),-1))</f>
        <v>1</v>
      </c>
      <c r="AO129" s="43"/>
      <c r="AP129" s="30">
        <f>((2^(5+L129))/2+1)/48</f>
        <v>170.6875</v>
      </c>
      <c r="AQ129" s="24">
        <f>IF(AO129="",0,IF(EXACT(RIGHT(AO129,2),"ms"),IF(ABS(VALUE(LEFT(AO129,FIND(" ",AO129,1)))-AP129)/AP129&lt;=0.02,1,-1),-1))</f>
        <v>0</v>
      </c>
      <c r="AR129" s="39">
        <f>M129+P129+S129+V129+Y129+AB129+AE129+AH129+AK129+AN129+AQ129</f>
        <v>6</v>
      </c>
    </row>
    <row r="130" spans="1:44" ht="13.2">
      <c r="A130" s="41">
        <v>128</v>
      </c>
      <c r="B130" s="42">
        <v>41992.767251446763</v>
      </c>
      <c r="C130" s="12" t="s">
        <v>1148</v>
      </c>
      <c r="D130" s="12" t="s">
        <v>1149</v>
      </c>
      <c r="E130" s="12">
        <v>245026</v>
      </c>
      <c r="F130" s="23">
        <v>1</v>
      </c>
      <c r="G130" s="23">
        <f>INT(E130/100000)</f>
        <v>2</v>
      </c>
      <c r="H130" s="23">
        <f>INT(($E130-100000*G130)/10000)</f>
        <v>4</v>
      </c>
      <c r="I130" s="23">
        <f>INT(($E130-100000*G130-10000*H130)/1000)</f>
        <v>5</v>
      </c>
      <c r="J130" s="23">
        <f>INT(($E130-100000*$G130-10000*$H130-1000*$I130)/100)</f>
        <v>0</v>
      </c>
      <c r="K130" s="23">
        <f>INT(($E130-100000*$G130-10000*$H130-1000*$I130-100*$J130)/10)</f>
        <v>2</v>
      </c>
      <c r="L130" s="23">
        <f>INT(($E130-100000*$G130-10000*$H130-1000*$I130-100*$J130-10*$K130))</f>
        <v>6</v>
      </c>
      <c r="M130" s="24">
        <v>2</v>
      </c>
      <c r="N130" s="12" t="s">
        <v>1150</v>
      </c>
      <c r="O130" s="26">
        <f>65+K130+10*LOG10(70+L130)+10*LOG10(100/(100+J130*20))</f>
        <v>85.808135922807907</v>
      </c>
      <c r="P130" s="24">
        <f>IF(N130="",0,IF(EXACT(RIGHT(N130,5),"dB(A)"),IF(ABS(VALUE(LEFT(N130,FIND(" ",N130,1)))-O130)&lt;=0.5,1,-1),-1))</f>
        <v>1</v>
      </c>
      <c r="Q130" s="43"/>
      <c r="R130" s="26">
        <f>10*LOG10(10^((80+G130)/10)*(10+L130)*1000/16/3600+10^((85+H130)/10)*(10+K130)*3000/16/3600+10^((90+J130)/10)*(10+J130)*100/16/3600)</f>
        <v>87.465104842218039</v>
      </c>
      <c r="S130" s="24">
        <f>IF(Q130="",0,IF(EXACT(RIGHT(Q130,5),"dB(A)"),IF(ABS(VALUE(LEFT(Q130,FIND(" ",Q130,1)))-R130)&lt;=0.5,1,-1),-1))</f>
        <v>0</v>
      </c>
      <c r="T130" s="12" t="s">
        <v>1151</v>
      </c>
      <c r="U130" s="30">
        <f>4*(500+K130*10+L130)/(400+J130*10)/340*SQRT(8192/4/0.1)</f>
        <v>2.2139703645456739</v>
      </c>
      <c r="V130" s="24">
        <f>IF(T130="",0,IF(EXACT(RIGHT(T130,2)," s"),IF(ABS(VALUE(LEFT(T130,FIND(" ",T130,1)))-U130)&lt;=0.005,1,-1),-1))</f>
        <v>1</v>
      </c>
      <c r="W130" s="12">
        <v>16384</v>
      </c>
      <c r="X130" s="36">
        <f>8*2^(5+L130)</f>
        <v>16384</v>
      </c>
      <c r="Y130" s="24">
        <f>IF(W130="",0,IF(ABS(W130-X130)&lt;=1,1,-1))</f>
        <v>1</v>
      </c>
      <c r="Z130" s="43"/>
      <c r="AA130" s="26">
        <f>10*LOG10(10^((60+L130-39.4)/10)+10^((63+L130-26.2)/10)+10^((66+L130-16.1)/10)+10^((69+L130-8.6)/10)+10^((72+L130-3.2)/10)+10^((75+L130)/10)+10^((78+L130+1.2)/10)+10^((81+L130+1)/10)+10^((84+L130-1.1)/10)+10^((87+L130-6.6)/10))</f>
        <v>93.684202566927453</v>
      </c>
      <c r="AB130" s="24">
        <f>IF(Z130="",0,IF(EXACT(RIGHT(Z130,5),"dB(A)"),IF(ABS(VALUE(LEFT(Z130,FIND(" ",Z130,1)))-AA130)&lt;=0.2,1,-1),-1))</f>
        <v>0</v>
      </c>
      <c r="AC130" s="12" t="s">
        <v>1152</v>
      </c>
      <c r="AD130" s="26">
        <f>10*LOG10((10^((60+L130)/10)*(1+J130)+10^((65+K130)/10)*(2+I130/3))/(1+J130+2+I130/3))</f>
        <v>66.804249459147286</v>
      </c>
      <c r="AE130" s="24">
        <f>IF(AC130="",0,IF(EXACT(RIGHT(AC130,5),"dB(A)"),IF(ABS(VALUE(LEFT(AC130,FIND(" ",AC130,1)))-AD130)&lt;=0.5,1,-1),-1))</f>
        <v>1</v>
      </c>
      <c r="AF130" s="12" t="s">
        <v>1153</v>
      </c>
      <c r="AG130" s="26">
        <f>90+K130+10*LOG10(4/(0.16*(300+J130*20)/(1+L130/10)))+3</f>
        <v>86.249387366082999</v>
      </c>
      <c r="AH130" s="24">
        <f>IF(AF130="",0,IF(EXACT(RIGHT(AF130,2),"dB"),IF(ABS(VALUE(LEFT(AF130,FIND(" ",AF130,1)))-AG130)&lt;=0.5,1,-1),-1))</f>
        <v>-1</v>
      </c>
      <c r="AI130" s="12" t="s">
        <v>1154</v>
      </c>
      <c r="AJ130" s="26">
        <f>10*LOG10(3+40*(2*SQRT(((10+K130)/2)^2+(3+L130/10)^2)-(10+K130))*100*(1+J130)/340)</f>
        <v>14.226254739845796</v>
      </c>
      <c r="AK130" s="24">
        <f>IF(AI130="",0,IF(EXACT(RIGHT(AI130,2),"dB"),IF(ABS(VALUE(LEFT(AI130,FIND(" ",AI130,1)))-AJ130)&lt;=0.5,1,-1),-1))</f>
        <v>1</v>
      </c>
      <c r="AL130" s="12" t="s">
        <v>1155</v>
      </c>
      <c r="AM130" s="26">
        <f>80+L130-(80+K130)</f>
        <v>4</v>
      </c>
      <c r="AN130" s="24">
        <f>IF(AL130="",0,IF(EXACT(RIGHT(AL130,2),"dB"),IF(ABS(VALUE(LEFT(AL130,FIND(" ",AL130,1)))-AM130)&lt;=0.5,1,-1),-1))</f>
        <v>1</v>
      </c>
      <c r="AO130" s="12" t="s">
        <v>1156</v>
      </c>
      <c r="AP130" s="30">
        <f>((2^(5+L130))/2+1)/48</f>
        <v>21.354166666666668</v>
      </c>
      <c r="AQ130" s="24">
        <f>IF(AO130="",0,IF(EXACT(RIGHT(AO130,2),"ms"),IF(ABS(VALUE(LEFT(AO130,FIND(" ",AO130,1)))-AP130)/AP130&lt;=0.02,1,-1),-1))</f>
        <v>-1</v>
      </c>
      <c r="AR130" s="39">
        <f>M130+P130+S130+V130+Y130+AB130+AE130+AH130+AK130+AN130+AQ130</f>
        <v>6</v>
      </c>
    </row>
    <row r="131" spans="1:44" ht="13.2">
      <c r="A131" s="41">
        <v>129</v>
      </c>
      <c r="B131" s="42">
        <v>41992.771079120372</v>
      </c>
      <c r="C131" s="12" t="s">
        <v>1420</v>
      </c>
      <c r="D131" s="12" t="s">
        <v>1421</v>
      </c>
      <c r="E131" s="12">
        <v>246477</v>
      </c>
      <c r="F131" s="23">
        <v>1</v>
      </c>
      <c r="G131" s="23">
        <f>INT(E131/100000)</f>
        <v>2</v>
      </c>
      <c r="H131" s="23">
        <f>INT(($E131-100000*G131)/10000)</f>
        <v>4</v>
      </c>
      <c r="I131" s="23">
        <f>INT(($E131-100000*G131-10000*H131)/1000)</f>
        <v>6</v>
      </c>
      <c r="J131" s="23">
        <f>INT(($E131-100000*$G131-10000*$H131-1000*$I131)/100)</f>
        <v>4</v>
      </c>
      <c r="K131" s="23">
        <f>INT(($E131-100000*$G131-10000*$H131-1000*$I131-100*$J131)/10)</f>
        <v>7</v>
      </c>
      <c r="L131" s="23">
        <f>INT(($E131-100000*$G131-10000*$H131-1000*$I131-100*$J131-10*$K131))</f>
        <v>7</v>
      </c>
      <c r="M131" s="24">
        <v>2</v>
      </c>
      <c r="N131" s="12" t="s">
        <v>1422</v>
      </c>
      <c r="O131" s="26">
        <f>65+K131+10*LOG10(70+L131)+10*LOG10(100/(100+J131*20))</f>
        <v>88.312182200691751</v>
      </c>
      <c r="P131" s="24">
        <f>IF(N131="",0,IF(EXACT(RIGHT(N131,5),"dB(A)"),IF(ABS(VALUE(LEFT(N131,FIND(" ",N131,1)))-O131)&lt;=0.5,1,-1),-1))</f>
        <v>1</v>
      </c>
      <c r="Q131" s="12" t="s">
        <v>1423</v>
      </c>
      <c r="R131" s="26">
        <f>10*LOG10(10^((80+G131)/10)*(10+L131)*1000/16/3600+10^((85+H131)/10)*(10+K131)*3000/16/3600+10^((90+J131)/10)*(10+J131)*100/16/3600)</f>
        <v>89.090961475045702</v>
      </c>
      <c r="S131" s="24">
        <f>IF(Q131="",0,IF(EXACT(RIGHT(Q131,5),"dB(A)"),IF(ABS(VALUE(LEFT(Q131,FIND(" ",Q131,1)))-R131)&lt;=0.5,1,-1),-1))</f>
        <v>1</v>
      </c>
      <c r="T131" s="12" t="s">
        <v>1424</v>
      </c>
      <c r="U131" s="30">
        <f>4*(500+K131*10+L131)/(400+J131*10)/340*SQRT(8192/4/0.1)</f>
        <v>2.2078480821687765</v>
      </c>
      <c r="V131" s="24">
        <f>IF(T131="",0,IF(EXACT(RIGHT(T131,2)," s"),IF(ABS(VALUE(LEFT(T131,FIND(" ",T131,1)))-U131)&lt;=0.005,1,-1),-1))</f>
        <v>1</v>
      </c>
      <c r="W131" s="12">
        <v>32758</v>
      </c>
      <c r="X131" s="36">
        <f>8*2^(5+L131)</f>
        <v>32768</v>
      </c>
      <c r="Y131" s="24">
        <f>IF(W131="",0,IF(ABS(W131-X131)&lt;=1,1,-1))</f>
        <v>-1</v>
      </c>
      <c r="Z131" s="12" t="s">
        <v>1425</v>
      </c>
      <c r="AA131" s="26">
        <f>10*LOG10(10^((60+L131-39.4)/10)+10^((63+L131-26.2)/10)+10^((66+L131-16.1)/10)+10^((69+L131-8.6)/10)+10^((72+L131-3.2)/10)+10^((75+L131)/10)+10^((78+L131+1.2)/10)+10^((81+L131+1)/10)+10^((84+L131-1.1)/10)+10^((87+L131-6.6)/10))</f>
        <v>94.684202566927453</v>
      </c>
      <c r="AB131" s="24">
        <f>IF(Z131="",0,IF(EXACT(RIGHT(Z131,5),"dB(A)"),IF(ABS(VALUE(LEFT(Z131,FIND(" ",Z131,1)))-AA131)&lt;=0.2,1,-1),-1))</f>
        <v>-1</v>
      </c>
      <c r="AC131" s="12" t="s">
        <v>1426</v>
      </c>
      <c r="AD131" s="26">
        <f>10*LOG10((10^((60+L131)/10)*(1+J131)+10^((65+K131)/10)*(2+I131/3))/(1+J131+2+I131/3))</f>
        <v>69.924803162290274</v>
      </c>
      <c r="AE131" s="24">
        <f>IF(AC131="",0,IF(EXACT(RIGHT(AC131,5),"dB(A)"),IF(ABS(VALUE(LEFT(AC131,FIND(" ",AC131,1)))-AD131)&lt;=0.5,1,-1),-1))</f>
        <v>1</v>
      </c>
      <c r="AF131" s="12" t="s">
        <v>1427</v>
      </c>
      <c r="AG131" s="26">
        <f>90+K131+10*LOG10(4/(0.16*(300+J131*20)/(1+L131/10)))+3</f>
        <v>90.486053334335011</v>
      </c>
      <c r="AH131" s="24">
        <f>IF(AF131="",0,IF(EXACT(RIGHT(AF131,2),"dB"),IF(ABS(VALUE(LEFT(AF131,FIND(" ",AF131,1)))-AG131)&lt;=0.5,1,-1),-1))</f>
        <v>1</v>
      </c>
      <c r="AI131" s="12" t="s">
        <v>1428</v>
      </c>
      <c r="AJ131" s="26">
        <f>10*LOG10(3+40*(2*SQRT(((10+K131)/2)^2+(3+L131/10)^2)-(10+K131))*100*(1+J131)/340)</f>
        <v>19.71430274139076</v>
      </c>
      <c r="AK131" s="24">
        <f>IF(AI131="",0,IF(EXACT(RIGHT(AI131,2),"dB"),IF(ABS(VALUE(LEFT(AI131,FIND(" ",AI131,1)))-AJ131)&lt;=0.5,1,-1),-1))</f>
        <v>-1</v>
      </c>
      <c r="AL131" s="12" t="s">
        <v>1429</v>
      </c>
      <c r="AM131" s="26">
        <f>80+L131-(80+K131)</f>
        <v>0</v>
      </c>
      <c r="AN131" s="24">
        <f>IF(AL131="",0,IF(EXACT(RIGHT(AL131,2),"dB"),IF(ABS(VALUE(LEFT(AL131,FIND(" ",AL131,1)))-AM131)&lt;=0.5,1,-1),-1))</f>
        <v>1</v>
      </c>
      <c r="AO131" s="12" t="s">
        <v>1430</v>
      </c>
      <c r="AP131" s="30">
        <f>((2^(5+L131))/2+1)/48</f>
        <v>42.6875</v>
      </c>
      <c r="AQ131" s="24">
        <f>IF(AO131="",0,IF(EXACT(RIGHT(AO131,2),"ms"),IF(ABS(VALUE(LEFT(AO131,FIND(" ",AO131,1)))-AP131)/AP131&lt;=0.02,1,-1),-1))</f>
        <v>1</v>
      </c>
      <c r="AR131" s="39">
        <f>M131+P131+S131+V131+Y131+AB131+AE131+AH131+AK131+AN131+AQ131</f>
        <v>6</v>
      </c>
    </row>
    <row r="132" spans="1:44" ht="13.2">
      <c r="A132" s="41">
        <v>130</v>
      </c>
      <c r="B132" s="42">
        <v>41992.767206608798</v>
      </c>
      <c r="C132" s="12" t="s">
        <v>1129</v>
      </c>
      <c r="D132" s="12" t="s">
        <v>1130</v>
      </c>
      <c r="E132" s="12">
        <v>242686</v>
      </c>
      <c r="F132" s="23">
        <v>1</v>
      </c>
      <c r="G132" s="23">
        <f>INT(E132/100000)</f>
        <v>2</v>
      </c>
      <c r="H132" s="23">
        <f>INT(($E132-100000*G132)/10000)</f>
        <v>4</v>
      </c>
      <c r="I132" s="23">
        <f>INT(($E132-100000*G132-10000*H132)/1000)</f>
        <v>2</v>
      </c>
      <c r="J132" s="23">
        <f>INT(($E132-100000*$G132-10000*$H132-1000*$I132)/100)</f>
        <v>6</v>
      </c>
      <c r="K132" s="23">
        <f>INT(($E132-100000*$G132-10000*$H132-1000*$I132-100*$J132)/10)</f>
        <v>8</v>
      </c>
      <c r="L132" s="23">
        <f>INT(($E132-100000*$G132-10000*$H132-1000*$I132-100*$J132-10*$K132))</f>
        <v>6</v>
      </c>
      <c r="M132" s="24">
        <v>2</v>
      </c>
      <c r="N132" s="12" t="s">
        <v>1131</v>
      </c>
      <c r="O132" s="26">
        <f>65+K132+10*LOG10(70+L132)+10*LOG10(100/(100+J132*20))</f>
        <v>88.383909114585848</v>
      </c>
      <c r="P132" s="24">
        <f>IF(N132="",0,IF(EXACT(RIGHT(N132,5),"dB(A)"),IF(ABS(VALUE(LEFT(N132,FIND(" ",N132,1)))-O132)&lt;=0.5,1,-1),-1))</f>
        <v>1</v>
      </c>
      <c r="Q132" s="43"/>
      <c r="R132" s="26">
        <f>10*LOG10(10^((80+G132)/10)*(10+L132)*1000/16/3600+10^((85+H132)/10)*(10+K132)*3000/16/3600+10^((90+J132)/10)*(10+J132)*100/16/3600)</f>
        <v>89.539011434361854</v>
      </c>
      <c r="S132" s="24">
        <f>IF(Q132="",0,IF(EXACT(RIGHT(Q132,5),"dB(A)"),IF(ABS(VALUE(LEFT(Q132,FIND(" ",Q132,1)))-R132)&lt;=0.5,1,-1),-1))</f>
        <v>0</v>
      </c>
      <c r="T132" s="45" t="s">
        <v>1132</v>
      </c>
      <c r="U132" s="30">
        <f>4*(500+K132*10+L132)/(400+J132*10)/340*SQRT(8192/4/0.1)</f>
        <v>2.1447952283414864</v>
      </c>
      <c r="V132" s="24">
        <f>IF(T132="",0,IF(EXACT(RIGHT(T132,2)," s"),IF(ABS(VALUE(LEFT(T132,FIND(" ",T132,1)))-U132)&lt;=0.005,1,-1),-1))</f>
        <v>1</v>
      </c>
      <c r="W132" s="12">
        <v>16384</v>
      </c>
      <c r="X132" s="36">
        <f>8*2^(5+L132)</f>
        <v>16384</v>
      </c>
      <c r="Y132" s="24">
        <f>IF(W132="",0,IF(ABS(W132-X132)&lt;=1,1,-1))</f>
        <v>1</v>
      </c>
      <c r="Z132" s="43"/>
      <c r="AA132" s="26">
        <f>10*LOG10(10^((60+L132-39.4)/10)+10^((63+L132-26.2)/10)+10^((66+L132-16.1)/10)+10^((69+L132-8.6)/10)+10^((72+L132-3.2)/10)+10^((75+L132)/10)+10^((78+L132+1.2)/10)+10^((81+L132+1)/10)+10^((84+L132-1.1)/10)+10^((87+L132-6.6)/10))</f>
        <v>93.684202566927453</v>
      </c>
      <c r="AB132" s="24">
        <f>IF(Z132="",0,IF(EXACT(RIGHT(Z132,5),"dB(A)"),IF(ABS(VALUE(LEFT(Z132,FIND(" ",Z132,1)))-AA132)&lt;=0.2,1,-1),-1))</f>
        <v>0</v>
      </c>
      <c r="AC132" s="12" t="s">
        <v>1133</v>
      </c>
      <c r="AD132" s="26">
        <f>10*LOG10((10^((60+L132)/10)*(1+J132)+10^((65+K132)/10)*(2+I132/3))/(1+J132+2+I132/3))</f>
        <v>69.236075197616188</v>
      </c>
      <c r="AE132" s="24">
        <f>IF(AC132="",0,IF(EXACT(RIGHT(AC132,5),"dB(A)"),IF(ABS(VALUE(LEFT(AC132,FIND(" ",AC132,1)))-AD132)&lt;=0.5,1,-1),-1))</f>
        <v>1</v>
      </c>
      <c r="AF132" s="12" t="s">
        <v>1134</v>
      </c>
      <c r="AG132" s="26">
        <f>90+K132+10*LOG10(4/(0.16*(300+J132*20)/(1+L132/10)))+3</f>
        <v>90.788107009300617</v>
      </c>
      <c r="AH132" s="24">
        <f>IF(AF132="",0,IF(EXACT(RIGHT(AF132,2),"dB"),IF(ABS(VALUE(LEFT(AF132,FIND(" ",AF132,1)))-AG132)&lt;=0.5,1,-1),-1))</f>
        <v>-1</v>
      </c>
      <c r="AI132" s="12" t="s">
        <v>1135</v>
      </c>
      <c r="AJ132" s="26">
        <f>10*LOG10(3+40*(2*SQRT(((10+K132)/2)^2+(3+L132/10)^2)-(10+K132))*100*(1+J132)/340)</f>
        <v>20.688906911490616</v>
      </c>
      <c r="AK132" s="24">
        <f>IF(AI132="",0,IF(EXACT(RIGHT(AI132,2),"dB"),IF(ABS(VALUE(LEFT(AI132,FIND(" ",AI132,1)))-AJ132)&lt;=0.5,1,-1),-1))</f>
        <v>1</v>
      </c>
      <c r="AL132" s="12" t="s">
        <v>1136</v>
      </c>
      <c r="AM132" s="26">
        <f>80+L132-(80+K132)</f>
        <v>-2</v>
      </c>
      <c r="AN132" s="24">
        <f>IF(AL132="",0,IF(EXACT(RIGHT(AL132,2),"dB"),IF(ABS(VALUE(LEFT(AL132,FIND(" ",AL132,1)))-AM132)&lt;=0.5,1,-1),-1))</f>
        <v>1</v>
      </c>
      <c r="AO132" s="12" t="s">
        <v>1137</v>
      </c>
      <c r="AP132" s="30">
        <f>((2^(5+L132))/2+1)/48</f>
        <v>21.354166666666668</v>
      </c>
      <c r="AQ132" s="24">
        <f>IF(AO132="",0,IF(EXACT(RIGHT(AO132,2),"ms"),IF(ABS(VALUE(LEFT(AO132,FIND(" ",AO132,1)))-AP132)/AP132&lt;=0.02,1,-1),-1))</f>
        <v>-1</v>
      </c>
      <c r="AR132" s="39">
        <f>M132+P132+S132+V132+Y132+AB132+AE132+AH132+AK132+AN132+AQ132</f>
        <v>6</v>
      </c>
    </row>
    <row r="133" spans="1:44" ht="13.2">
      <c r="A133" s="41">
        <v>131</v>
      </c>
      <c r="B133" s="42">
        <v>41992.776267256952</v>
      </c>
      <c r="C133" s="12" t="s">
        <v>1505</v>
      </c>
      <c r="D133" s="12" t="s">
        <v>1506</v>
      </c>
      <c r="E133" s="12">
        <v>20782</v>
      </c>
      <c r="F133" s="23">
        <v>1</v>
      </c>
      <c r="G133" s="23">
        <f>INT(E133/100000)</f>
        <v>0</v>
      </c>
      <c r="H133" s="23">
        <f>INT(($E133-100000*G133)/10000)</f>
        <v>2</v>
      </c>
      <c r="I133" s="23">
        <f>INT(($E133-100000*G133-10000*H133)/1000)</f>
        <v>0</v>
      </c>
      <c r="J133" s="23">
        <f>INT(($E133-100000*$G133-10000*$H133-1000*$I133)/100)</f>
        <v>7</v>
      </c>
      <c r="K133" s="23">
        <f>INT(($E133-100000*$G133-10000*$H133-1000*$I133-100*$J133)/10)</f>
        <v>8</v>
      </c>
      <c r="L133" s="23">
        <f>INT(($E133-100000*$G133-10000*$H133-1000*$I133-100*$J133-10*$K133))</f>
        <v>2</v>
      </c>
      <c r="M133" s="24">
        <v>2</v>
      </c>
      <c r="N133" s="45" t="s">
        <v>1507</v>
      </c>
      <c r="O133" s="26">
        <f>65+K133+10*LOG10(70+L133)+10*LOG10(100/(100+J133*20))</f>
        <v>87.771212547196626</v>
      </c>
      <c r="P133" s="24">
        <f>IF(N133="",0,IF(EXACT(RIGHT(N133,5),"dB(A)"),IF(ABS(VALUE(LEFT(N133,FIND(" ",N133,1)))-O133)&lt;=0.5,1,-1),-1))</f>
        <v>1</v>
      </c>
      <c r="Q133" s="45" t="s">
        <v>1508</v>
      </c>
      <c r="R133" s="26">
        <f>10*LOG10(10^((80+G133)/10)*(10+L133)*1000/16/3600+10^((85+H133)/10)*(10+K133)*3000/16/3600+10^((90+J133)/10)*(10+J133)*100/16/3600)</f>
        <v>88.052399367628155</v>
      </c>
      <c r="S133" s="24">
        <f>IF(Q133="",0,IF(EXACT(RIGHT(Q133,5),"dB(A)"),IF(ABS(VALUE(LEFT(Q133,FIND(" ",Q133,1)))-R133)&lt;=0.5,1,-1),-1))</f>
        <v>1</v>
      </c>
      <c r="T133" s="44" t="s">
        <v>1509</v>
      </c>
      <c r="U133" s="30">
        <f>4*(500+K133*10+L133)/(400+J133*10)/340*SQRT(8192/4/0.1)</f>
        <v>2.0848325413244595</v>
      </c>
      <c r="V133" s="24">
        <f>IF(T133="",0,IF(EXACT(RIGHT(T133,2)," s"),IF(ABS(VALUE(LEFT(T133,FIND(" ",T133,1)))-U133)&lt;=0.005,1,-1),-1))</f>
        <v>-1</v>
      </c>
      <c r="W133" s="12">
        <v>1024</v>
      </c>
      <c r="X133" s="36">
        <f>8*2^(5+L133)</f>
        <v>1024</v>
      </c>
      <c r="Y133" s="24">
        <f>IF(W133="",0,IF(ABS(W133-X133)&lt;=1,1,-1))</f>
        <v>1</v>
      </c>
      <c r="Z133" s="43"/>
      <c r="AA133" s="26">
        <f>10*LOG10(10^((60+L133-39.4)/10)+10^((63+L133-26.2)/10)+10^((66+L133-16.1)/10)+10^((69+L133-8.6)/10)+10^((72+L133-3.2)/10)+10^((75+L133)/10)+10^((78+L133+1.2)/10)+10^((81+L133+1)/10)+10^((84+L133-1.1)/10)+10^((87+L133-6.6)/10))</f>
        <v>89.684202566927453</v>
      </c>
      <c r="AB133" s="24">
        <f>IF(Z133="",0,IF(EXACT(RIGHT(Z133,5),"dB(A)"),IF(ABS(VALUE(LEFT(Z133,FIND(" ",Z133,1)))-AA133)&lt;=0.2,1,-1),-1))</f>
        <v>0</v>
      </c>
      <c r="AC133" s="45" t="s">
        <v>1510</v>
      </c>
      <c r="AD133" s="26">
        <f>10*LOG10((10^((60+L133)/10)*(1+J133)+10^((65+K133)/10)*(2+I133/3))/(1+J133+2+I133/3))</f>
        <v>67.20856855483143</v>
      </c>
      <c r="AE133" s="24">
        <f>IF(AC133="",0,IF(EXACT(RIGHT(AC133,5),"dB(A)"),IF(ABS(VALUE(LEFT(AC133,FIND(" ",AC133,1)))-AD133)&lt;=0.5,1,-1),-1))</f>
        <v>1</v>
      </c>
      <c r="AF133" s="45" t="s">
        <v>1511</v>
      </c>
      <c r="AG133" s="26">
        <f>90+K133+10*LOG10(4/(0.16*(300+J133*20)/(1+L133/10)))+3</f>
        <v>89.336685782334754</v>
      </c>
      <c r="AH133" s="24">
        <f>IF(AF133="",0,IF(EXACT(RIGHT(AF133,2),"dB"),IF(ABS(VALUE(LEFT(AF133,FIND(" ",AF133,1)))-AG133)&lt;=0.5,1,-1),-1))</f>
        <v>1</v>
      </c>
      <c r="AI133" s="45" t="s">
        <v>1512</v>
      </c>
      <c r="AJ133" s="26">
        <f>10*LOG10(3+40*(2*SQRT(((10+K133)/2)^2+(3+L133/10)^2)-(10+K133))*100*(1+J133)/340)</f>
        <v>20.289734219453528</v>
      </c>
      <c r="AK133" s="24">
        <f>IF(AI133="",0,IF(EXACT(RIGHT(AI133,2),"dB"),IF(ABS(VALUE(LEFT(AI133,FIND(" ",AI133,1)))-AJ133)&lt;=0.5,1,-1),-1))</f>
        <v>-1</v>
      </c>
      <c r="AL133" s="12" t="s">
        <v>1513</v>
      </c>
      <c r="AM133" s="26">
        <f>80+L133-(80+K133)</f>
        <v>-6</v>
      </c>
      <c r="AN133" s="24">
        <f>IF(AL133="",0,IF(EXACT(RIGHT(AL133,2),"dB"),IF(ABS(VALUE(LEFT(AL133,FIND(" ",AL133,1)))-AM133)&lt;=0.5,1,-1),-1))</f>
        <v>1</v>
      </c>
      <c r="AO133" s="43"/>
      <c r="AP133" s="30">
        <f>((2^(5+L133))/2+1)/48</f>
        <v>1.3541666666666667</v>
      </c>
      <c r="AQ133" s="24">
        <f>IF(AO133="",0,IF(EXACT(RIGHT(AO133,2),"ms"),IF(ABS(VALUE(LEFT(AO133,FIND(" ",AO133,1)))-AP133)/AP133&lt;=0.02,1,-1),-1))</f>
        <v>0</v>
      </c>
      <c r="AR133" s="39">
        <f>M133+P133+S133+V133+Y133+AB133+AE133+AH133+AK133+AN133+AQ133</f>
        <v>6</v>
      </c>
    </row>
    <row r="134" spans="1:44" ht="13.2">
      <c r="A134" s="41">
        <v>132</v>
      </c>
      <c r="B134" s="42">
        <v>41992.763355763884</v>
      </c>
      <c r="C134" s="12" t="s">
        <v>484</v>
      </c>
      <c r="D134" s="12" t="s">
        <v>485</v>
      </c>
      <c r="E134" s="12">
        <v>242331</v>
      </c>
      <c r="F134" s="23">
        <v>1</v>
      </c>
      <c r="G134" s="23">
        <f>INT(E134/100000)</f>
        <v>2</v>
      </c>
      <c r="H134" s="23">
        <f>INT(($E134-100000*G134)/10000)</f>
        <v>4</v>
      </c>
      <c r="I134" s="23">
        <f>INT(($E134-100000*G134-10000*H134)/1000)</f>
        <v>2</v>
      </c>
      <c r="J134" s="23">
        <f>INT(($E134-100000*$G134-10000*$H134-1000*$I134)/100)</f>
        <v>3</v>
      </c>
      <c r="K134" s="23">
        <f>INT(($E134-100000*$G134-10000*$H134-1000*$I134-100*$J134)/10)</f>
        <v>3</v>
      </c>
      <c r="L134" s="23">
        <f>INT(($E134-100000*$G134-10000*$H134-1000*$I134-100*$J134-10*$K134))</f>
        <v>1</v>
      </c>
      <c r="M134" s="24">
        <v>2</v>
      </c>
      <c r="N134" s="12" t="s">
        <v>486</v>
      </c>
      <c r="O134" s="26">
        <f>65+K134+10*LOG10(70+L134)+10*LOG10(100/(100+J134*20))</f>
        <v>84.471383660631503</v>
      </c>
      <c r="P134" s="24">
        <f>IF(N134="",0,IF(EXACT(RIGHT(N134,5),"dB(A)"),IF(ABS(VALUE(LEFT(N134,FIND(" ",N134,1)))-O134)&lt;=0.5,1,-1),-1))</f>
        <v>1</v>
      </c>
      <c r="Q134" s="12" t="s">
        <v>487</v>
      </c>
      <c r="R134" s="26">
        <f>10*LOG10(10^((80+G134)/10)*(10+L134)*1000/16/3600+10^((85+H134)/10)*(10+K134)*3000/16/3600+10^((90+J134)/10)*(10+J134)*100/16/3600)</f>
        <v>87.875493281670046</v>
      </c>
      <c r="S134" s="24">
        <f>IF(Q134="",0,IF(EXACT(RIGHT(Q134,5),"dB(A)"),IF(ABS(VALUE(LEFT(Q134,FIND(" ",Q134,1)))-R134)&lt;=0.5,1,-1),-1))</f>
        <v>-1</v>
      </c>
      <c r="T134" s="12" t="s">
        <v>488</v>
      </c>
      <c r="U134" s="30">
        <f>4*(500+K134*10+L134)/(400+J134*10)/340*SQRT(8192/4/0.1)</f>
        <v>2.0790843815965214</v>
      </c>
      <c r="V134" s="24">
        <f>IF(T134="",0,IF(EXACT(RIGHT(T134,2)," s"),IF(ABS(VALUE(LEFT(T134,FIND(" ",T134,1)))-U134)&lt;=0.005,1,-1),-1))</f>
        <v>1</v>
      </c>
      <c r="W134" s="12">
        <v>512</v>
      </c>
      <c r="X134" s="36">
        <f>8*2^(5+L134)</f>
        <v>512</v>
      </c>
      <c r="Y134" s="24">
        <f>IF(W134="",0,IF(ABS(W134-X134)&lt;=1,1,-1))</f>
        <v>1</v>
      </c>
      <c r="Z134" s="43"/>
      <c r="AA134" s="26">
        <f>10*LOG10(10^((60+L134-39.4)/10)+10^((63+L134-26.2)/10)+10^((66+L134-16.1)/10)+10^((69+L134-8.6)/10)+10^((72+L134-3.2)/10)+10^((75+L134)/10)+10^((78+L134+1.2)/10)+10^((81+L134+1)/10)+10^((84+L134-1.1)/10)+10^((87+L134-6.6)/10))</f>
        <v>88.684202566927453</v>
      </c>
      <c r="AB134" s="24">
        <f>IF(Z134="",0,IF(EXACT(RIGHT(Z134,5),"dB(A)"),IF(ABS(VALUE(LEFT(Z134,FIND(" ",Z134,1)))-AA134)&lt;=0.2,1,-1),-1))</f>
        <v>0</v>
      </c>
      <c r="AC134" s="12" t="s">
        <v>489</v>
      </c>
      <c r="AD134" s="26">
        <f>10*LOG10((10^((60+L134)/10)*(1+J134)+10^((65+K134)/10)*(2+I134/3))/(1+J134+2+I134/3))</f>
        <v>65.157658690512804</v>
      </c>
      <c r="AE134" s="24">
        <f>IF(AC134="",0,IF(EXACT(RIGHT(AC134,5),"dB(A)"),IF(ABS(VALUE(LEFT(AC134,FIND(" ",AC134,1)))-AD134)&lt;=0.5,1,-1),-1))</f>
        <v>1</v>
      </c>
      <c r="AF134" s="12" t="s">
        <v>490</v>
      </c>
      <c r="AG134" s="26">
        <f>90+K134+10*LOG10(4/(0.16*(300+J134*20)/(1+L134/10)))+3</f>
        <v>84.830301930629759</v>
      </c>
      <c r="AH134" s="24">
        <f>IF(AF134="",0,IF(EXACT(RIGHT(AF134,2),"dB"),IF(ABS(VALUE(LEFT(AF134,FIND(" ",AF134,1)))-AG134)&lt;=0.5,1,-1),-1))</f>
        <v>1</v>
      </c>
      <c r="AI134" s="12" t="s">
        <v>491</v>
      </c>
      <c r="AJ134" s="26">
        <f>10*LOG10(3+40*(2*SQRT(((10+K134)/2)^2+(3+L134/10)^2)-(10+K134))*100*(1+J134)/340)</f>
        <v>18.389312797359104</v>
      </c>
      <c r="AK134" s="24">
        <f>IF(AI134="",0,IF(EXACT(RIGHT(AI134,2),"dB"),IF(ABS(VALUE(LEFT(AI134,FIND(" ",AI134,1)))-AJ134)&lt;=0.5,1,-1),-1))</f>
        <v>-1</v>
      </c>
      <c r="AL134" s="12" t="s">
        <v>492</v>
      </c>
      <c r="AM134" s="26">
        <f>80+L134-(80+K134)</f>
        <v>-2</v>
      </c>
      <c r="AN134" s="24">
        <f>IF(AL134="",0,IF(EXACT(RIGHT(AL134,2),"dB"),IF(ABS(VALUE(LEFT(AL134,FIND(" ",AL134,1)))-AM134)&lt;=0.5,1,-1),-1))</f>
        <v>1</v>
      </c>
      <c r="AO134" s="12" t="s">
        <v>493</v>
      </c>
      <c r="AP134" s="30">
        <f>((2^(5+L134))/2+1)/48</f>
        <v>0.6875</v>
      </c>
      <c r="AQ134" s="24">
        <f>IF(AO134="",0,IF(EXACT(RIGHT(AO134,2),"ms"),IF(ABS(VALUE(LEFT(AO134,FIND(" ",AO134,1)))-AP134)/AP134&lt;=0.02,1,-1),-1))</f>
        <v>-1</v>
      </c>
      <c r="AR134" s="39">
        <f>M134+P134+S134+V134+Y134+AB134+AE134+AH134+AK134+AN134+AQ134</f>
        <v>5</v>
      </c>
    </row>
    <row r="135" spans="1:44" ht="13.2">
      <c r="A135" s="41">
        <v>133</v>
      </c>
      <c r="B135" s="42">
        <v>41992.764858159724</v>
      </c>
      <c r="C135" s="12" t="s">
        <v>705</v>
      </c>
      <c r="D135" s="12" t="s">
        <v>706</v>
      </c>
      <c r="E135" s="12">
        <v>232688</v>
      </c>
      <c r="F135" s="23">
        <v>1</v>
      </c>
      <c r="G135" s="23">
        <f>INT(E135/100000)</f>
        <v>2</v>
      </c>
      <c r="H135" s="23">
        <f>INT(($E135-100000*G135)/10000)</f>
        <v>3</v>
      </c>
      <c r="I135" s="23">
        <f>INT(($E135-100000*G135-10000*H135)/1000)</f>
        <v>2</v>
      </c>
      <c r="J135" s="23">
        <f>INT(($E135-100000*$G135-10000*$H135-1000*$I135)/100)</f>
        <v>6</v>
      </c>
      <c r="K135" s="23">
        <f>INT(($E135-100000*$G135-10000*$H135-1000*$I135-100*$J135)/10)</f>
        <v>8</v>
      </c>
      <c r="L135" s="23">
        <f>INT(($E135-100000*$G135-10000*$H135-1000*$I135-100*$J135-10*$K135))</f>
        <v>8</v>
      </c>
      <c r="M135" s="24">
        <v>2</v>
      </c>
      <c r="N135" s="12" t="s">
        <v>707</v>
      </c>
      <c r="O135" s="26">
        <f>65+K135+10*LOG10(70+L135)+10*LOG10(100/(100+J135*20))</f>
        <v>88.496719218682742</v>
      </c>
      <c r="P135" s="24">
        <f>IF(N135="",0,IF(EXACT(RIGHT(N135,5),"dB(A)"),IF(ABS(VALUE(LEFT(N135,FIND(" ",N135,1)))-O135)&lt;=0.5,1,-1),-1))</f>
        <v>1</v>
      </c>
      <c r="Q135" s="43"/>
      <c r="R135" s="26">
        <f>10*LOG10(10^((80+G135)/10)*(10+L135)*1000/16/3600+10^((85+H135)/10)*(10+K135)*3000/16/3600+10^((90+J135)/10)*(10+J135)*100/16/3600)</f>
        <v>88.760074270069452</v>
      </c>
      <c r="S135" s="24">
        <f>IF(Q135="",0,IF(EXACT(RIGHT(Q135,5),"dB(A)"),IF(ABS(VALUE(LEFT(Q135,FIND(" ",Q135,1)))-R135)&lt;=0.5,1,-1),-1))</f>
        <v>0</v>
      </c>
      <c r="T135" s="12" t="s">
        <v>708</v>
      </c>
      <c r="U135" s="30">
        <f>4*(500+K135*10+L135)/(400+J135*10)/340*SQRT(8192/4/0.1)</f>
        <v>2.1521153485747337</v>
      </c>
      <c r="V135" s="24">
        <f>IF(T135="",0,IF(EXACT(RIGHT(T135,2)," s"),IF(ABS(VALUE(LEFT(T135,FIND(" ",T135,1)))-U135)&lt;=0.005,1,-1),-1))</f>
        <v>1</v>
      </c>
      <c r="W135" s="12">
        <v>65536</v>
      </c>
      <c r="X135" s="36">
        <f>8*2^(5+L135)</f>
        <v>65536</v>
      </c>
      <c r="Y135" s="24">
        <f>IF(W135="",0,IF(ABS(W135-X135)&lt;=1,1,-1))</f>
        <v>1</v>
      </c>
      <c r="Z135" s="43"/>
      <c r="AA135" s="26">
        <f>10*LOG10(10^((60+L135-39.4)/10)+10^((63+L135-26.2)/10)+10^((66+L135-16.1)/10)+10^((69+L135-8.6)/10)+10^((72+L135-3.2)/10)+10^((75+L135)/10)+10^((78+L135+1.2)/10)+10^((81+L135+1)/10)+10^((84+L135-1.1)/10)+10^((87+L135-6.6)/10))</f>
        <v>95.684202566927453</v>
      </c>
      <c r="AB135" s="24">
        <f>IF(Z135="",0,IF(EXACT(RIGHT(Z135,5),"dB(A)"),IF(ABS(VALUE(LEFT(Z135,FIND(" ",Z135,1)))-AA135)&lt;=0.2,1,-1),-1))</f>
        <v>0</v>
      </c>
      <c r="AC135" s="12" t="s">
        <v>709</v>
      </c>
      <c r="AD135" s="26">
        <f>10*LOG10((10^((60+L135)/10)*(1+J135)+10^((65+K135)/10)*(2+I135/3))/(1+J135+2+I135/3))</f>
        <v>70.031663083990267</v>
      </c>
      <c r="AE135" s="24">
        <f>IF(AC135="",0,IF(EXACT(RIGHT(AC135,5),"dB(A)"),IF(ABS(VALUE(LEFT(AC135,FIND(" ",AC135,1)))-AD135)&lt;=0.5,1,-1),-1))</f>
        <v>-1</v>
      </c>
      <c r="AF135" s="12" t="s">
        <v>710</v>
      </c>
      <c r="AG135" s="26">
        <f>90+K135+10*LOG10(4/(0.16*(300+J135*20)/(1+L135/10)))+3</f>
        <v>91.299632233774432</v>
      </c>
      <c r="AH135" s="24">
        <f>IF(AF135="",0,IF(EXACT(RIGHT(AF135,2),"dB"),IF(ABS(VALUE(LEFT(AF135,FIND(" ",AF135,1)))-AG135)&lt;=0.5,1,-1),-1))</f>
        <v>1</v>
      </c>
      <c r="AI135" s="12" t="s">
        <v>711</v>
      </c>
      <c r="AJ135" s="26">
        <f>10*LOG10(3+40*(2*SQRT(((10+K135)/2)^2+(3+L135/10)^2)-(10+K135))*100*(1+J135)/340)</f>
        <v>21.129894952557908</v>
      </c>
      <c r="AK135" s="24">
        <f>IF(AI135="",0,IF(EXACT(RIGHT(AI135,2),"dB"),IF(ABS(VALUE(LEFT(AI135,FIND(" ",AI135,1)))-AJ135)&lt;=0.5,1,-1),-1))</f>
        <v>-1</v>
      </c>
      <c r="AL135" s="12" t="s">
        <v>712</v>
      </c>
      <c r="AM135" s="26">
        <f>80+L135-(80+K135)</f>
        <v>0</v>
      </c>
      <c r="AN135" s="24">
        <f>IF(AL135="",0,IF(EXACT(RIGHT(AL135,2),"dB"),IF(ABS(VALUE(LEFT(AL135,FIND(" ",AL135,1)))-AM135)&lt;=0.5,1,-1),-1))</f>
        <v>1</v>
      </c>
      <c r="AO135" s="43"/>
      <c r="AP135" s="30">
        <f>((2^(5+L135))/2+1)/48</f>
        <v>85.354166666666671</v>
      </c>
      <c r="AQ135" s="24">
        <f>IF(AO135="",0,IF(EXACT(RIGHT(AO135,2),"ms"),IF(ABS(VALUE(LEFT(AO135,FIND(" ",AO135,1)))-AP135)/AP135&lt;=0.02,1,-1),-1))</f>
        <v>0</v>
      </c>
      <c r="AR135" s="39">
        <f>M135+P135+S135+V135+Y135+AB135+AE135+AH135+AK135+AN135+AQ135</f>
        <v>5</v>
      </c>
    </row>
    <row r="136" spans="1:44" ht="13.2">
      <c r="A136" s="41">
        <v>134</v>
      </c>
      <c r="B136" s="42">
        <v>41992.766416817125</v>
      </c>
      <c r="C136" s="12" t="s">
        <v>972</v>
      </c>
      <c r="D136" s="12" t="s">
        <v>973</v>
      </c>
      <c r="E136" s="12">
        <v>223365</v>
      </c>
      <c r="F136" s="23">
        <v>1</v>
      </c>
      <c r="G136" s="23">
        <f>INT(E136/100000)</f>
        <v>2</v>
      </c>
      <c r="H136" s="23">
        <f>INT(($E136-100000*G136)/10000)</f>
        <v>2</v>
      </c>
      <c r="I136" s="23">
        <f>INT(($E136-100000*G136-10000*H136)/1000)</f>
        <v>3</v>
      </c>
      <c r="J136" s="23">
        <f>INT(($E136-100000*$G136-10000*$H136-1000*$I136)/100)</f>
        <v>3</v>
      </c>
      <c r="K136" s="23">
        <f>INT(($E136-100000*$G136-10000*$H136-1000*$I136-100*$J136)/10)</f>
        <v>6</v>
      </c>
      <c r="L136" s="23">
        <f>INT(($E136-100000*$G136-10000*$H136-1000*$I136-100*$J136-10*$K136))</f>
        <v>5</v>
      </c>
      <c r="M136" s="24">
        <v>2</v>
      </c>
      <c r="N136" s="12" t="s">
        <v>974</v>
      </c>
      <c r="O136" s="26">
        <f>65+K136+10*LOG10(70+L136)+10*LOG10(100/(100+J136*20))</f>
        <v>87.709412807357751</v>
      </c>
      <c r="P136" s="24">
        <f>IF(N136="",0,IF(EXACT(RIGHT(N136,5),"dB(A)"),IF(ABS(VALUE(LEFT(N136,FIND(" ",N136,1)))-O136)&lt;=0.5,1,-1),-1))</f>
        <v>1</v>
      </c>
      <c r="Q136" s="12" t="s">
        <v>975</v>
      </c>
      <c r="R136" s="26">
        <f>10*LOG10(10^((80+G136)/10)*(10+L136)*1000/16/3600+10^((85+H136)/10)*(10+K136)*3000/16/3600+10^((90+J136)/10)*(10+J136)*100/16/3600)</f>
        <v>87.023971446484936</v>
      </c>
      <c r="S136" s="24">
        <f>IF(Q136="",0,IF(EXACT(RIGHT(Q136,5),"dB(A)"),IF(ABS(VALUE(LEFT(Q136,FIND(" ",Q136,1)))-R136)&lt;=0.5,1,-1),-1))</f>
        <v>-1</v>
      </c>
      <c r="T136" s="45" t="s">
        <v>976</v>
      </c>
      <c r="U136" s="30">
        <f>4*(500+K136*10+L136)/(400+J136*10)/340*SQRT(8192/4/0.1)</f>
        <v>2.2122084286290669</v>
      </c>
      <c r="V136" s="24">
        <f>IF(T136="",0,IF(EXACT(RIGHT(T136,2)," s"),IF(ABS(VALUE(LEFT(T136,FIND(" ",T136,1)))-U136)&lt;=0.005,1,-1),-1))</f>
        <v>-1</v>
      </c>
      <c r="W136" s="12">
        <v>8192</v>
      </c>
      <c r="X136" s="36">
        <f>8*2^(5+L136)</f>
        <v>8192</v>
      </c>
      <c r="Y136" s="24">
        <f>IF(W136="",0,IF(ABS(W136-X136)&lt;=1,1,-1))</f>
        <v>1</v>
      </c>
      <c r="Z136" s="43"/>
      <c r="AA136" s="26">
        <f>10*LOG10(10^((60+L136-39.4)/10)+10^((63+L136-26.2)/10)+10^((66+L136-16.1)/10)+10^((69+L136-8.6)/10)+10^((72+L136-3.2)/10)+10^((75+L136)/10)+10^((78+L136+1.2)/10)+10^((81+L136+1)/10)+10^((84+L136-1.1)/10)+10^((87+L136-6.6)/10))</f>
        <v>92.684202566927439</v>
      </c>
      <c r="AB136" s="24">
        <f>IF(Z136="",0,IF(EXACT(RIGHT(Z136,5),"dB(A)"),IF(ABS(VALUE(LEFT(Z136,FIND(" ",Z136,1)))-AA136)&lt;=0.2,1,-1),-1))</f>
        <v>0</v>
      </c>
      <c r="AC136" s="12" t="s">
        <v>977</v>
      </c>
      <c r="AD136" s="26">
        <f>10*LOG10((10^((60+L136)/10)*(1+J136)+10^((65+K136)/10)*(2+I136/3))/(1+J136+2+I136/3))</f>
        <v>68.574778659166469</v>
      </c>
      <c r="AE136" s="24">
        <f>IF(AC136="",0,IF(EXACT(RIGHT(AC136,5),"dB(A)"),IF(ABS(VALUE(LEFT(AC136,FIND(" ",AC136,1)))-AD136)&lt;=0.5,1,-1),-1))</f>
        <v>1</v>
      </c>
      <c r="AF136" s="12" t="s">
        <v>978</v>
      </c>
      <c r="AG136" s="26">
        <f>90+K136+10*LOG10(4/(0.16*(300+J136*20)/(1+L136/10)))+3</f>
        <v>89.177287669604311</v>
      </c>
      <c r="AH136" s="24">
        <f>IF(AF136="",0,IF(EXACT(RIGHT(AF136,2),"dB"),IF(ABS(VALUE(LEFT(AF136,FIND(" ",AF136,1)))-AG136)&lt;=0.5,1,-1),-1))</f>
        <v>-1</v>
      </c>
      <c r="AI136" s="12" t="s">
        <v>979</v>
      </c>
      <c r="AJ136" s="26">
        <f>10*LOG10(3+40*(2*SQRT(((10+K136)/2)^2+(3+L136/10)^2)-(10+K136))*100*(1+J136)/340)</f>
        <v>18.567641914999285</v>
      </c>
      <c r="AK136" s="24">
        <f>IF(AI136="",0,IF(EXACT(RIGHT(AI136,2),"dB"),IF(ABS(VALUE(LEFT(AI136,FIND(" ",AI136,1)))-AJ136)&lt;=0.5,1,-1),-1))</f>
        <v>1</v>
      </c>
      <c r="AL136" s="12" t="s">
        <v>980</v>
      </c>
      <c r="AM136" s="26">
        <f>80+L136-(80+K136)</f>
        <v>-1</v>
      </c>
      <c r="AN136" s="24">
        <f>IF(AL136="",0,IF(EXACT(RIGHT(AL136,2),"dB"),IF(ABS(VALUE(LEFT(AL136,FIND(" ",AL136,1)))-AM136)&lt;=0.5,1,-1),-1))</f>
        <v>1</v>
      </c>
      <c r="AO136" s="12" t="s">
        <v>981</v>
      </c>
      <c r="AP136" s="30">
        <f>((2^(5+L136))/2+1)/48</f>
        <v>10.6875</v>
      </c>
      <c r="AQ136" s="24">
        <f>IF(AO136="",0,IF(EXACT(RIGHT(AO136,2),"ms"),IF(ABS(VALUE(LEFT(AO136,FIND(" ",AO136,1)))-AP136)/AP136&lt;=0.02,1,-1),-1))</f>
        <v>1</v>
      </c>
      <c r="AR136" s="39">
        <f>M136+P136+S136+V136+Y136+AB136+AE136+AH136+AK136+AN136+AQ136</f>
        <v>5</v>
      </c>
    </row>
    <row r="137" spans="1:44" ht="13.2">
      <c r="A137" s="41">
        <v>135</v>
      </c>
      <c r="B137" s="42">
        <v>41992.766682175927</v>
      </c>
      <c r="C137" s="12" t="s">
        <v>1026</v>
      </c>
      <c r="D137" s="12" t="s">
        <v>1027</v>
      </c>
      <c r="E137" s="12">
        <v>239308</v>
      </c>
      <c r="F137" s="23">
        <v>1</v>
      </c>
      <c r="G137" s="23">
        <f>INT(E137/100000)</f>
        <v>2</v>
      </c>
      <c r="H137" s="23">
        <f>INT(($E137-100000*G137)/10000)</f>
        <v>3</v>
      </c>
      <c r="I137" s="23">
        <f>INT(($E137-100000*G137-10000*H137)/1000)</f>
        <v>9</v>
      </c>
      <c r="J137" s="23">
        <f>INT(($E137-100000*$G137-10000*$H137-1000*$I137)/100)</f>
        <v>3</v>
      </c>
      <c r="K137" s="23">
        <f>INT(($E137-100000*$G137-10000*$H137-1000*$I137-100*$J137)/10)</f>
        <v>0</v>
      </c>
      <c r="L137" s="23">
        <f>INT(($E137-100000*$G137-10000*$H137-1000*$I137-100*$J137-10*$K137))</f>
        <v>8</v>
      </c>
      <c r="M137" s="24">
        <v>2</v>
      </c>
      <c r="N137" s="12" t="s">
        <v>1028</v>
      </c>
      <c r="O137" s="26">
        <f>65+K137+10*LOG10(70+L137)+10*LOG10(100/(100+J137*20))</f>
        <v>81.879746200345551</v>
      </c>
      <c r="P137" s="24">
        <f>IF(N137="",0,IF(EXACT(RIGHT(N137,5),"dB(A)"),IF(ABS(VALUE(LEFT(N137,FIND(" ",N137,1)))-O137)&lt;=0.5,1,-1),-1))</f>
        <v>1</v>
      </c>
      <c r="Q137" s="12" t="s">
        <v>1029</v>
      </c>
      <c r="R137" s="26">
        <f>10*LOG10(10^((80+G137)/10)*(10+L137)*1000/16/3600+10^((85+H137)/10)*(10+K137)*3000/16/3600+10^((90+J137)/10)*(10+J137)*100/16/3600)</f>
        <v>86.265287170566978</v>
      </c>
      <c r="S137" s="24">
        <f>IF(Q137="",0,IF(EXACT(RIGHT(Q137,5),"dB(A)"),IF(ABS(VALUE(LEFT(Q137,FIND(" ",Q137,1)))-R137)&lt;=0.5,1,-1),-1))</f>
        <v>1</v>
      </c>
      <c r="T137" s="44" t="s">
        <v>1030</v>
      </c>
      <c r="U137" s="30">
        <f>4*(500+K137*10+L137)/(400+J137*10)/340*SQRT(8192/4/0.1)</f>
        <v>1.9890298791921524</v>
      </c>
      <c r="V137" s="24">
        <f>IF(T137="",0,IF(EXACT(RIGHT(T137,2)," s"),IF(ABS(VALUE(LEFT(T137,FIND(" ",T137,1)))-U137)&lt;=0.005,1,-1),-1))</f>
        <v>-1</v>
      </c>
      <c r="W137" s="12">
        <v>65536</v>
      </c>
      <c r="X137" s="36">
        <f>8*2^(5+L137)</f>
        <v>65536</v>
      </c>
      <c r="Y137" s="24">
        <f>IF(W137="",0,IF(ABS(W137-X137)&lt;=1,1,-1))</f>
        <v>1</v>
      </c>
      <c r="Z137" s="43"/>
      <c r="AA137" s="26">
        <f>10*LOG10(10^((60+L137-39.4)/10)+10^((63+L137-26.2)/10)+10^((66+L137-16.1)/10)+10^((69+L137-8.6)/10)+10^((72+L137-3.2)/10)+10^((75+L137)/10)+10^((78+L137+1.2)/10)+10^((81+L137+1)/10)+10^((84+L137-1.1)/10)+10^((87+L137-6.6)/10))</f>
        <v>95.684202566927453</v>
      </c>
      <c r="AB137" s="24">
        <f>IF(Z137="",0,IF(EXACT(RIGHT(Z137,5),"dB(A)"),IF(ABS(VALUE(LEFT(Z137,FIND(" ",Z137,1)))-AA137)&lt;=0.2,1,-1),-1))</f>
        <v>0</v>
      </c>
      <c r="AC137" s="12" t="s">
        <v>1031</v>
      </c>
      <c r="AD137" s="26">
        <f>10*LOG10((10^((60+L137)/10)*(1+J137)+10^((65+K137)/10)*(2+I137/3))/(1+J137+2+I137/3))</f>
        <v>66.590672885224734</v>
      </c>
      <c r="AE137" s="24">
        <f>IF(AC137="",0,IF(EXACT(RIGHT(AC137,5),"dB(A)"),IF(ABS(VALUE(LEFT(AC137,FIND(" ",AC137,1)))-AD137)&lt;=0.5,1,-1),-1))</f>
        <v>1</v>
      </c>
      <c r="AF137" s="12" t="s">
        <v>1032</v>
      </c>
      <c r="AG137" s="26">
        <f>90+K137+10*LOG10(4/(0.16*(300+J137*20)/(1+L137/10)))+3</f>
        <v>83.969100130080562</v>
      </c>
      <c r="AH137" s="24">
        <f>IF(AF137="",0,IF(EXACT(RIGHT(AF137,2),"dB"),IF(ABS(VALUE(LEFT(AF137,FIND(" ",AF137,1)))-AG137)&lt;=0.5,1,-1),-1))</f>
        <v>-1</v>
      </c>
      <c r="AI137" s="45" t="s">
        <v>1033</v>
      </c>
      <c r="AJ137" s="26">
        <f>10*LOG10(3+40*(2*SQRT(((10+K137)/2)^2+(3+L137/10)^2)-(10+K137))*100*(1+J137)/340)</f>
        <v>20.91605686534924</v>
      </c>
      <c r="AK137" s="24">
        <f>IF(AI137="",0,IF(EXACT(RIGHT(AI137,2),"dB"),IF(ABS(VALUE(LEFT(AI137,FIND(" ",AI137,1)))-AJ137)&lt;=0.5,1,-1),-1))</f>
        <v>-1</v>
      </c>
      <c r="AL137" s="12" t="s">
        <v>1034</v>
      </c>
      <c r="AM137" s="26">
        <f>80+L137-(80+K137)</f>
        <v>8</v>
      </c>
      <c r="AN137" s="24">
        <f>IF(AL137="",0,IF(EXACT(RIGHT(AL137,2),"dB"),IF(ABS(VALUE(LEFT(AL137,FIND(" ",AL137,1)))-AM137)&lt;=0.5,1,-1),-1))</f>
        <v>1</v>
      </c>
      <c r="AO137" s="12" t="s">
        <v>1035</v>
      </c>
      <c r="AP137" s="30">
        <f>((2^(5+L137))/2+1)/48</f>
        <v>85.354166666666671</v>
      </c>
      <c r="AQ137" s="24">
        <f>IF(AO137="",0,IF(EXACT(RIGHT(AO137,2),"ms"),IF(ABS(VALUE(LEFT(AO137,FIND(" ",AO137,1)))-AP137)/AP137&lt;=0.02,1,-1),-1))</f>
        <v>1</v>
      </c>
      <c r="AR137" s="39">
        <f>M137+P137+S137+V137+Y137+AB137+AE137+AH137+AK137+AN137+AQ137</f>
        <v>5</v>
      </c>
    </row>
    <row r="138" spans="1:44" ht="13.2">
      <c r="A138" s="41">
        <v>136</v>
      </c>
      <c r="B138" s="42">
        <v>41992.75722748843</v>
      </c>
      <c r="C138" s="12" t="s">
        <v>88</v>
      </c>
      <c r="D138" s="12" t="s">
        <v>89</v>
      </c>
      <c r="E138" s="12">
        <v>231679</v>
      </c>
      <c r="F138" s="23">
        <v>1</v>
      </c>
      <c r="G138" s="23">
        <f>INT(E138/100000)</f>
        <v>2</v>
      </c>
      <c r="H138" s="23">
        <f>INT(($E138-100000*G138)/10000)</f>
        <v>3</v>
      </c>
      <c r="I138" s="23">
        <f>INT(($E138-100000*G138-10000*H138)/1000)</f>
        <v>1</v>
      </c>
      <c r="J138" s="23">
        <f>INT(($E138-100000*$G138-10000*$H138-1000*$I138)/100)</f>
        <v>6</v>
      </c>
      <c r="K138" s="23">
        <f>INT(($E138-100000*$G138-10000*$H138-1000*$I138-100*$J138)/10)</f>
        <v>7</v>
      </c>
      <c r="L138" s="23">
        <f>INT(($E138-100000*$G138-10000*$H138-1000*$I138-100*$J138-10*$K138))</f>
        <v>9</v>
      </c>
      <c r="M138" s="24">
        <v>2</v>
      </c>
      <c r="N138" s="12" t="s">
        <v>90</v>
      </c>
      <c r="O138" s="26">
        <f>65+K138+10*LOG10(70+L138)+10*LOG10(100/(100+J138*20))</f>
        <v>87.552044104682352</v>
      </c>
      <c r="P138" s="24">
        <f>IF(N138="",0,IF(EXACT(RIGHT(N138,5),"dB(A)"),IF(ABS(VALUE(LEFT(N138,FIND(" ",N138,1)))-O138)&lt;=0.5,1,-1),-1))</f>
        <v>1</v>
      </c>
      <c r="Q138" s="43"/>
      <c r="R138" s="26">
        <f>10*LOG10(10^((80+G138)/10)*(10+L138)*1000/16/3600+10^((85+H138)/10)*(10+K138)*3000/16/3600+10^((90+J138)/10)*(10+J138)*100/16/3600)</f>
        <v>88.582513454817445</v>
      </c>
      <c r="S138" s="24">
        <f>IF(Q138="",0,IF(EXACT(RIGHT(Q138,5),"dB(A)"),IF(ABS(VALUE(LEFT(Q138,FIND(" ",Q138,1)))-R138)&lt;=0.5,1,-1),-1))</f>
        <v>0</v>
      </c>
      <c r="T138" s="12" t="s">
        <v>91</v>
      </c>
      <c r="U138" s="30">
        <f>4*(500+K138*10+L138)/(400+J138*10)/340*SQRT(8192/4/0.1)</f>
        <v>2.1191748075251202</v>
      </c>
      <c r="V138" s="24">
        <f>IF(T138="",0,IF(EXACT(RIGHT(T138,2)," s"),IF(ABS(VALUE(LEFT(T138,FIND(" ",T138,1)))-U138)&lt;=0.005,1,-1),-1))</f>
        <v>1</v>
      </c>
      <c r="W138" s="12">
        <v>131072</v>
      </c>
      <c r="X138" s="36">
        <f>8*2^(5+L138)</f>
        <v>131072</v>
      </c>
      <c r="Y138" s="24">
        <f>IF(W138="",0,IF(ABS(W138-X138)&lt;=1,1,-1))</f>
        <v>1</v>
      </c>
      <c r="Z138" s="43"/>
      <c r="AA138" s="26">
        <f>10*LOG10(10^((60+L138-39.4)/10)+10^((63+L138-26.2)/10)+10^((66+L138-16.1)/10)+10^((69+L138-8.6)/10)+10^((72+L138-3.2)/10)+10^((75+L138)/10)+10^((78+L138+1.2)/10)+10^((81+L138+1)/10)+10^((84+L138-1.1)/10)+10^((87+L138-6.6)/10))</f>
        <v>96.684202566927439</v>
      </c>
      <c r="AB138" s="24">
        <f>IF(Z138="",0,IF(EXACT(RIGHT(Z138,5),"dB(A)"),IF(ABS(VALUE(LEFT(Z138,FIND(" ",Z138,1)))-AA138)&lt;=0.2,1,-1),-1))</f>
        <v>0</v>
      </c>
      <c r="AC138" s="45" t="s">
        <v>92</v>
      </c>
      <c r="AD138" s="26">
        <f>10*LOG10((10^((60+L138)/10)*(1+J138)+10^((65+K138)/10)*(2+I138/3))/(1+J138+2+I138/3))</f>
        <v>69.964983078310908</v>
      </c>
      <c r="AE138" s="24">
        <f>IF(AC138="",0,IF(EXACT(RIGHT(AC138,5),"dB(A)"),IF(ABS(VALUE(LEFT(AC138,FIND(" ",AC138,1)))-AD138)&lt;=0.5,1,-1),-1))</f>
        <v>1</v>
      </c>
      <c r="AF138" s="43"/>
      <c r="AG138" s="26">
        <f>90+K138+10*LOG10(4/(0.16*(300+J138*20)/(1+L138/10)))+3</f>
        <v>90.534443192269663</v>
      </c>
      <c r="AH138" s="24">
        <f>IF(AF138="",0,IF(EXACT(RIGHT(AF138,2),"dB"),IF(ABS(VALUE(LEFT(AF138,FIND(" ",AF138,1)))-AG138)&lt;=0.5,1,-1),-1))</f>
        <v>0</v>
      </c>
      <c r="AI138" s="12" t="s">
        <v>93</v>
      </c>
      <c r="AJ138" s="26">
        <f>10*LOG10(3+40*(2*SQRT(((10+K138)/2)^2+(3+L138/10)^2)-(10+K138))*100*(1+J138)/340)</f>
        <v>21.563378799899912</v>
      </c>
      <c r="AK138" s="24">
        <f>IF(AI138="",0,IF(EXACT(RIGHT(AI138,2),"dB"),IF(ABS(VALUE(LEFT(AI138,FIND(" ",AI138,1)))-AJ138)&lt;=0.5,1,-1),-1))</f>
        <v>-1</v>
      </c>
      <c r="AL138" s="43"/>
      <c r="AM138" s="26">
        <f>80+L138-(80+K138)</f>
        <v>2</v>
      </c>
      <c r="AN138" s="24">
        <f>IF(AL138="",0,IF(EXACT(RIGHT(AL138,2),"dB"),IF(ABS(VALUE(LEFT(AL138,FIND(" ",AL138,1)))-AM138)&lt;=0.5,1,-1),-1))</f>
        <v>0</v>
      </c>
      <c r="AO138" s="43"/>
      <c r="AP138" s="30">
        <f>((2^(5+L138))/2+1)/48</f>
        <v>170.6875</v>
      </c>
      <c r="AQ138" s="24">
        <f>IF(AO138="",0,IF(EXACT(RIGHT(AO138,2),"ms"),IF(ABS(VALUE(LEFT(AO138,FIND(" ",AO138,1)))-AP138)/AP138&lt;=0.02,1,-1),-1))</f>
        <v>0</v>
      </c>
      <c r="AR138" s="39">
        <f>M138+P138+S138+V138+Y138+AB138+AE138+AH138+AK138+AN138+AQ138</f>
        <v>5</v>
      </c>
    </row>
    <row r="139" spans="1:44" ht="13.2">
      <c r="A139" s="41">
        <v>137</v>
      </c>
      <c r="B139" s="42">
        <v>41992.758878437504</v>
      </c>
      <c r="C139" s="12" t="s">
        <v>135</v>
      </c>
      <c r="D139" s="12" t="s">
        <v>136</v>
      </c>
      <c r="E139" s="12">
        <v>239654</v>
      </c>
      <c r="F139" s="23">
        <v>1</v>
      </c>
      <c r="G139" s="23">
        <f>INT(E139/100000)</f>
        <v>2</v>
      </c>
      <c r="H139" s="23">
        <f>INT(($E139-100000*G139)/10000)</f>
        <v>3</v>
      </c>
      <c r="I139" s="23">
        <f>INT(($E139-100000*G139-10000*H139)/1000)</f>
        <v>9</v>
      </c>
      <c r="J139" s="23">
        <f>INT(($E139-100000*$G139-10000*$H139-1000*$I139)/100)</f>
        <v>6</v>
      </c>
      <c r="K139" s="23">
        <f>INT(($E139-100000*$G139-10000*$H139-1000*$I139-100*$J139)/10)</f>
        <v>5</v>
      </c>
      <c r="L139" s="23">
        <f>INT(($E139-100000*$G139-10000*$H139-1000*$I139-100*$J139-10*$K139))</f>
        <v>4</v>
      </c>
      <c r="M139" s="24">
        <v>2</v>
      </c>
      <c r="N139" s="12" t="s">
        <v>137</v>
      </c>
      <c r="O139" s="26">
        <f>65+K139+10*LOG10(70+L139)+10*LOG10(100/(100+J139*20))</f>
        <v>85.268090389087703</v>
      </c>
      <c r="P139" s="24">
        <f>IF(N139="",0,IF(EXACT(RIGHT(N139,5),"dB(A)"),IF(ABS(VALUE(LEFT(N139,FIND(" ",N139,1)))-O139)&lt;=0.5,1,-1),-1))</f>
        <v>1</v>
      </c>
      <c r="Q139" s="12" t="s">
        <v>138</v>
      </c>
      <c r="R139" s="26">
        <f>10*LOG10(10^((80+G139)/10)*(10+L139)*1000/16/3600+10^((85+H139)/10)*(10+K139)*3000/16/3600+10^((90+J139)/10)*(10+J139)*100/16/3600)</f>
        <v>88.075637501302566</v>
      </c>
      <c r="S139" s="24">
        <f>IF(Q139="",0,IF(EXACT(RIGHT(Q139,5),"dB(A)"),IF(ABS(VALUE(LEFT(Q139,FIND(" ",Q139,1)))-R139)&lt;=0.5,1,-1),-1))</f>
        <v>1</v>
      </c>
      <c r="T139" s="12" t="s">
        <v>139</v>
      </c>
      <c r="U139" s="30">
        <f>4*(500+K139*10+L139)/(400+J139*10)/340*SQRT(8192/4/0.1)</f>
        <v>2.0276733046095279</v>
      </c>
      <c r="V139" s="24">
        <f>IF(T139="",0,IF(EXACT(RIGHT(T139,2)," s"),IF(ABS(VALUE(LEFT(T139,FIND(" ",T139,1)))-U139)&lt;=0.005,1,-1),-1))</f>
        <v>1</v>
      </c>
      <c r="W139" s="12">
        <v>4096</v>
      </c>
      <c r="X139" s="36">
        <f>8*2^(5+L139)</f>
        <v>4096</v>
      </c>
      <c r="Y139" s="24">
        <f>IF(W139="",0,IF(ABS(W139-X139)&lt;=1,1,-1))</f>
        <v>1</v>
      </c>
      <c r="Z139" s="44" t="s">
        <v>140</v>
      </c>
      <c r="AA139" s="26">
        <f>10*LOG10(10^((60+L139-39.4)/10)+10^((63+L139-26.2)/10)+10^((66+L139-16.1)/10)+10^((69+L139-8.6)/10)+10^((72+L139-3.2)/10)+10^((75+L139)/10)+10^((78+L139+1.2)/10)+10^((81+L139+1)/10)+10^((84+L139-1.1)/10)+10^((87+L139-6.6)/10))</f>
        <v>91.684202566927439</v>
      </c>
      <c r="AB139" s="24">
        <f>IF(Z139="",0,IF(EXACT(RIGHT(Z139,5),"dB(A)"),IF(ABS(VALUE(LEFT(Z139,FIND(" ",Z139,1)))-AA139)&lt;=0.2,1,-1),-1))</f>
        <v>-1</v>
      </c>
      <c r="AC139" s="44" t="s">
        <v>141</v>
      </c>
      <c r="AD139" s="26">
        <f>10*LOG10((10^((60+L139)/10)*(1+J139)+10^((65+K139)/10)*(2+I139/3))/(1+J139+2+I139/3))</f>
        <v>67.506575375697281</v>
      </c>
      <c r="AE139" s="24">
        <f>IF(AC139="",0,IF(EXACT(RIGHT(AC139,5),"dB(A)"),IF(ABS(VALUE(LEFT(AC139,FIND(" ",AC139,1)))-AD139)&lt;=0.5,1,-1),-1))</f>
        <v>-1</v>
      </c>
      <c r="AF139" s="12" t="s">
        <v>142</v>
      </c>
      <c r="AG139" s="26">
        <f>90+K139+10*LOG10(4/(0.16*(300+J139*20)/(1+L139/10)))+3</f>
        <v>87.208187539523749</v>
      </c>
      <c r="AH139" s="24">
        <f>IF(AF139="",0,IF(EXACT(RIGHT(AF139,2),"dB"),IF(ABS(VALUE(LEFT(AF139,FIND(" ",AF139,1)))-AG139)&lt;=0.5,1,-1),-1))</f>
        <v>1</v>
      </c>
      <c r="AI139" s="12" t="s">
        <v>143</v>
      </c>
      <c r="AJ139" s="26">
        <f>10*LOG10(3+40*(2*SQRT(((10+K139)/2)^2+(3+L139/10)^2)-(10+K139))*100*(1+J139)/340)</f>
        <v>20.934446974555669</v>
      </c>
      <c r="AK139" s="24">
        <f>IF(AI139="",0,IF(EXACT(RIGHT(AI139,2),"dB"),IF(ABS(VALUE(LEFT(AI139,FIND(" ",AI139,1)))-AJ139)&lt;=0.5,1,-1),-1))</f>
        <v>-1</v>
      </c>
      <c r="AL139" s="44">
        <v>-1</v>
      </c>
      <c r="AM139" s="26">
        <f>80+L139-(80+K139)</f>
        <v>-1</v>
      </c>
      <c r="AN139" s="24">
        <f>IF(AL139="",0,IF(EXACT(RIGHT(AL139,2),"dB"),IF(ABS(VALUE(LEFT(AL139,FIND(" ",AL139,1)))-AM139)&lt;=0.5,1,-1),-1))</f>
        <v>-1</v>
      </c>
      <c r="AO139" s="12" t="s">
        <v>144</v>
      </c>
      <c r="AP139" s="30">
        <f>((2^(5+L139))/2+1)/48</f>
        <v>5.354166666666667</v>
      </c>
      <c r="AQ139" s="24">
        <f>IF(AO139="",0,IF(EXACT(RIGHT(AO139,2),"ms"),IF(ABS(VALUE(LEFT(AO139,FIND(" ",AO139,1)))-AP139)/AP139&lt;=0.02,1,-1),-1))</f>
        <v>1</v>
      </c>
      <c r="AR139" s="39">
        <f>M139+P139+S139+V139+Y139+AB139+AE139+AH139+AK139+AN139+AQ139</f>
        <v>4</v>
      </c>
    </row>
    <row r="140" spans="1:44" ht="13.2">
      <c r="A140" s="41">
        <v>138</v>
      </c>
      <c r="B140" s="42">
        <v>41992.764985590278</v>
      </c>
      <c r="C140" s="12" t="s">
        <v>381</v>
      </c>
      <c r="D140" s="12" t="s">
        <v>382</v>
      </c>
      <c r="E140" s="12">
        <v>240588</v>
      </c>
      <c r="F140" s="23">
        <v>1</v>
      </c>
      <c r="G140" s="23">
        <f>INT(E140/100000)</f>
        <v>2</v>
      </c>
      <c r="H140" s="23">
        <f>INT(($E140-100000*G140)/10000)</f>
        <v>4</v>
      </c>
      <c r="I140" s="23">
        <f>INT(($E140-100000*G140-10000*H140)/1000)</f>
        <v>0</v>
      </c>
      <c r="J140" s="23">
        <f>INT(($E140-100000*$G140-10000*$H140-1000*$I140)/100)</f>
        <v>5</v>
      </c>
      <c r="K140" s="23">
        <f>INT(($E140-100000*$G140-10000*$H140-1000*$I140-100*$J140)/10)</f>
        <v>8</v>
      </c>
      <c r="L140" s="23">
        <f>INT(($E140-100000*$G140-10000*$H140-1000*$I140-100*$J140-10*$K140))</f>
        <v>8</v>
      </c>
      <c r="M140" s="24">
        <v>2</v>
      </c>
      <c r="N140" s="12" t="s">
        <v>383</v>
      </c>
      <c r="O140" s="26">
        <f>65+K140+10*LOG10(70+L140)+10*LOG10(100/(100+J140*20))</f>
        <v>88.910646070264988</v>
      </c>
      <c r="P140" s="24">
        <f>IF(N140="",0,IF(EXACT(RIGHT(N140,5),"dB(A)"),IF(ABS(VALUE(LEFT(N140,FIND(" ",N140,1)))-O140)&lt;=0.5,1,-1),-1))</f>
        <v>-1</v>
      </c>
      <c r="Q140" s="12" t="s">
        <v>384</v>
      </c>
      <c r="R140" s="26">
        <f>10*LOG10(10^((80+G140)/10)*(10+L140)*1000/16/3600+10^((85+H140)/10)*(10+K140)*3000/16/3600+10^((90+J140)/10)*(10+J140)*100/16/3600)</f>
        <v>89.427824478320446</v>
      </c>
      <c r="S140" s="24">
        <f>IF(Q140="",0,IF(EXACT(RIGHT(Q140,5),"dB(A)"),IF(ABS(VALUE(LEFT(Q140,FIND(" ",Q140,1)))-R140)&lt;=0.5,1,-1),-1))</f>
        <v>1</v>
      </c>
      <c r="T140" s="12" t="s">
        <v>385</v>
      </c>
      <c r="U140" s="30">
        <f>4*(500+K140*10+L140)/(400+J140*10)/340*SQRT(8192/4/0.1)</f>
        <v>2.1999401340986164</v>
      </c>
      <c r="V140" s="24">
        <f>IF(T140="",0,IF(EXACT(RIGHT(T140,2)," s"),IF(ABS(VALUE(LEFT(T140,FIND(" ",T140,1)))-U140)&lt;=0.005,1,-1),-1))</f>
        <v>1</v>
      </c>
      <c r="W140" s="12">
        <v>65536</v>
      </c>
      <c r="X140" s="36">
        <f>8*2^(5+L140)</f>
        <v>65536</v>
      </c>
      <c r="Y140" s="24">
        <f>IF(W140="",0,IF(ABS(W140-X140)&lt;=1,1,-1))</f>
        <v>1</v>
      </c>
      <c r="Z140" s="43"/>
      <c r="AA140" s="26">
        <f>10*LOG10(10^((60+L140-39.4)/10)+10^((63+L140-26.2)/10)+10^((66+L140-16.1)/10)+10^((69+L140-8.6)/10)+10^((72+L140-3.2)/10)+10^((75+L140)/10)+10^((78+L140+1.2)/10)+10^((81+L140+1)/10)+10^((84+L140-1.1)/10)+10^((87+L140-6.6)/10))</f>
        <v>95.684202566927453</v>
      </c>
      <c r="AB140" s="24">
        <f>IF(Z140="",0,IF(EXACT(RIGHT(Z140,5),"dB(A)"),IF(ABS(VALUE(LEFT(Z140,FIND(" ",Z140,1)))-AA140)&lt;=0.2,1,-1),-1))</f>
        <v>0</v>
      </c>
      <c r="AC140" s="12" t="s">
        <v>386</v>
      </c>
      <c r="AD140" s="26">
        <f>10*LOG10((10^((60+L140)/10)*(1+J140)+10^((65+K140)/10)*(2+I140/3))/(1+J140+2+I140/3))</f>
        <v>69.876812715530306</v>
      </c>
      <c r="AE140" s="24">
        <f>IF(AC140="",0,IF(EXACT(RIGHT(AC140,5),"dB(A)"),IF(ABS(VALUE(LEFT(AC140,FIND(" ",AC140,1)))-AD140)&lt;=0.5,1,-1),-1))</f>
        <v>1</v>
      </c>
      <c r="AF140" s="12" t="s">
        <v>387</v>
      </c>
      <c r="AG140" s="26">
        <f>90+K140+10*LOG10(4/(0.16*(300+J140*20)/(1+L140/10)))+3</f>
        <v>91.511525224473814</v>
      </c>
      <c r="AH140" s="24">
        <f>IF(AF140="",0,IF(EXACT(RIGHT(AF140,2),"dB"),IF(ABS(VALUE(LEFT(AF140,FIND(" ",AF140,1)))-AG140)&lt;=0.5,1,-1),-1))</f>
        <v>1</v>
      </c>
      <c r="AI140" s="45" t="s">
        <v>388</v>
      </c>
      <c r="AJ140" s="26">
        <f>10*LOG10(3+40*(2*SQRT(((10+K140)/2)^2+(3+L140/10)^2)-(10+K140))*100*(1+J140)/340)</f>
        <v>20.477135236182804</v>
      </c>
      <c r="AK140" s="24">
        <f>IF(AI140="",0,IF(EXACT(RIGHT(AI140,2),"dB"),IF(ABS(VALUE(LEFT(AI140,FIND(" ",AI140,1)))-AJ140)&lt;=0.5,1,-1),-1))</f>
        <v>-1</v>
      </c>
      <c r="AL140" s="43"/>
      <c r="AM140" s="26">
        <f>80+L140-(80+K140)</f>
        <v>0</v>
      </c>
      <c r="AN140" s="24">
        <f>IF(AL140="",0,IF(EXACT(RIGHT(AL140,2),"dB"),IF(ABS(VALUE(LEFT(AL140,FIND(" ",AL140,1)))-AM140)&lt;=0.5,1,-1),-1))</f>
        <v>0</v>
      </c>
      <c r="AO140" s="12" t="s">
        <v>389</v>
      </c>
      <c r="AP140" s="30">
        <f>((2^(5+L140))/2+1)/48</f>
        <v>85.354166666666671</v>
      </c>
      <c r="AQ140" s="24">
        <f>IF(AO140="",0,IF(EXACT(RIGHT(AO140,2),"ms"),IF(ABS(VALUE(LEFT(AO140,FIND(" ",AO140,1)))-AP140)/AP140&lt;=0.02,1,-1),-1))</f>
        <v>-1</v>
      </c>
      <c r="AR140" s="39">
        <f>M140+P140+S140+V140+Y140+AB140+AE140+AH140+AK140+AN140+AQ140</f>
        <v>4</v>
      </c>
    </row>
    <row r="141" spans="1:44" ht="13.2">
      <c r="A141" s="41">
        <v>139</v>
      </c>
      <c r="B141" s="42">
        <v>41992.765289236107</v>
      </c>
      <c r="C141" s="12" t="s">
        <v>772</v>
      </c>
      <c r="D141" s="12" t="s">
        <v>773</v>
      </c>
      <c r="E141" s="12">
        <v>242667</v>
      </c>
      <c r="F141" s="23">
        <v>1</v>
      </c>
      <c r="G141" s="23">
        <f>INT(E141/100000)</f>
        <v>2</v>
      </c>
      <c r="H141" s="23">
        <f>INT(($E141-100000*G141)/10000)</f>
        <v>4</v>
      </c>
      <c r="I141" s="23">
        <f>INT(($E141-100000*G141-10000*H141)/1000)</f>
        <v>2</v>
      </c>
      <c r="J141" s="23">
        <f>INT(($E141-100000*$G141-10000*$H141-1000*$I141)/100)</f>
        <v>6</v>
      </c>
      <c r="K141" s="23">
        <f>INT(($E141-100000*$G141-10000*$H141-1000*$I141-100*$J141)/10)</f>
        <v>6</v>
      </c>
      <c r="L141" s="23">
        <f>INT(($E141-100000*$G141-10000*$H141-1000*$I141-100*$J141-10*$K141))</f>
        <v>7</v>
      </c>
      <c r="M141" s="24">
        <v>2</v>
      </c>
      <c r="N141" s="12" t="s">
        <v>774</v>
      </c>
      <c r="O141" s="26">
        <f>65+K141+10*LOG10(70+L141)+10*LOG10(100/(100+J141*20))</f>
        <v>86.440680443502757</v>
      </c>
      <c r="P141" s="24">
        <f>IF(N141="",0,IF(EXACT(RIGHT(N141,5),"dB(A)"),IF(ABS(VALUE(LEFT(N141,FIND(" ",N141,1)))-O141)&lt;=0.5,1,-1),-1))</f>
        <v>1</v>
      </c>
      <c r="Q141" s="12" t="s">
        <v>775</v>
      </c>
      <c r="R141" s="26">
        <f>10*LOG10(10^((80+G141)/10)*(10+L141)*1000/16/3600+10^((85+H141)/10)*(10+K141)*3000/16/3600+10^((90+J141)/10)*(10+J141)*100/16/3600)</f>
        <v>89.134439526490922</v>
      </c>
      <c r="S141" s="24">
        <f>IF(Q141="",0,IF(EXACT(RIGHT(Q141,5),"dB(A)"),IF(ABS(VALUE(LEFT(Q141,FIND(" ",Q141,1)))-R141)&lt;=0.5,1,-1),-1))</f>
        <v>-1</v>
      </c>
      <c r="T141" s="45" t="s">
        <v>776</v>
      </c>
      <c r="U141" s="30">
        <f>4*(500+K141*10+L141)/(400+J141*10)/340*SQRT(8192/4/0.1)</f>
        <v>2.0752540861256366</v>
      </c>
      <c r="V141" s="24">
        <f>IF(T141="",0,IF(EXACT(RIGHT(T141,2)," s"),IF(ABS(VALUE(LEFT(T141,FIND(" ",T141,1)))-U141)&lt;=0.005,1,-1),-1))</f>
        <v>-1</v>
      </c>
      <c r="W141" s="12">
        <v>32768</v>
      </c>
      <c r="X141" s="36">
        <f>8*2^(5+L141)</f>
        <v>32768</v>
      </c>
      <c r="Y141" s="24">
        <f>IF(W141="",0,IF(ABS(W141-X141)&lt;=1,1,-1))</f>
        <v>1</v>
      </c>
      <c r="Z141" s="12" t="s">
        <v>777</v>
      </c>
      <c r="AA141" s="26">
        <f>10*LOG10(10^((60+L141-39.4)/10)+10^((63+L141-26.2)/10)+10^((66+L141-16.1)/10)+10^((69+L141-8.6)/10)+10^((72+L141-3.2)/10)+10^((75+L141)/10)+10^((78+L141+1.2)/10)+10^((81+L141+1)/10)+10^((84+L141-1.1)/10)+10^((87+L141-6.6)/10))</f>
        <v>94.684202566927453</v>
      </c>
      <c r="AB141" s="24">
        <f>IF(Z141="",0,IF(EXACT(RIGHT(Z141,5),"dB(A)"),IF(ABS(VALUE(LEFT(Z141,FIND(" ",Z141,1)))-AA141)&lt;=0.2,1,-1),-1))</f>
        <v>1</v>
      </c>
      <c r="AC141" s="12" t="s">
        <v>778</v>
      </c>
      <c r="AD141" s="26">
        <f>10*LOG10((10^((60+L141)/10)*(1+J141)+10^((65+K141)/10)*(2+I141/3))/(1+J141+2+I141/3))</f>
        <v>68.513919533546186</v>
      </c>
      <c r="AE141" s="24">
        <f>IF(AC141="",0,IF(EXACT(RIGHT(AC141,5),"dB(A)"),IF(ABS(VALUE(LEFT(AC141,FIND(" ",AC141,1)))-AD141)&lt;=0.5,1,-1),-1))</f>
        <v>1</v>
      </c>
      <c r="AF141" s="12" t="s">
        <v>779</v>
      </c>
      <c r="AG141" s="26">
        <f>90+K141+10*LOG10(4/(0.16*(300+J141*20)/(1+L141/10)))+3</f>
        <v>89.051396396524112</v>
      </c>
      <c r="AH141" s="24">
        <f>IF(AF141="",0,IF(EXACT(RIGHT(AF141,2),"dB"),IF(ABS(VALUE(LEFT(AF141,FIND(" ",AF141,1)))-AG141)&lt;=0.5,1,-1),-1))</f>
        <v>-1</v>
      </c>
      <c r="AI141" s="12" t="s">
        <v>780</v>
      </c>
      <c r="AJ141" s="26">
        <f>10*LOG10(3+40*(2*SQRT(((10+K141)/2)^2+(3+L141/10)^2)-(10+K141))*100*(1+J141)/340)</f>
        <v>21.370450347712278</v>
      </c>
      <c r="AK141" s="24">
        <f>IF(AI141="",0,IF(EXACT(RIGHT(AI141,2),"dB"),IF(ABS(VALUE(LEFT(AI141,FIND(" ",AI141,1)))-AJ141)&lt;=0.5,1,-1),-1))</f>
        <v>-1</v>
      </c>
      <c r="AL141" s="12" t="s">
        <v>781</v>
      </c>
      <c r="AM141" s="26">
        <f>80+L141-(80+K141)</f>
        <v>1</v>
      </c>
      <c r="AN141" s="24">
        <f>IF(AL141="",0,IF(EXACT(RIGHT(AL141,2),"dB"),IF(ABS(VALUE(LEFT(AL141,FIND(" ",AL141,1)))-AM141)&lt;=0.5,1,-1),-1))</f>
        <v>1</v>
      </c>
      <c r="AO141" s="12" t="s">
        <v>782</v>
      </c>
      <c r="AP141" s="30">
        <f>((2^(5+L141))/2+1)/48</f>
        <v>42.6875</v>
      </c>
      <c r="AQ141" s="24">
        <f>IF(AO141="",0,IF(EXACT(RIGHT(AO141,2),"ms"),IF(ABS(VALUE(LEFT(AO141,FIND(" ",AO141,1)))-AP141)/AP141&lt;=0.02,1,-1),-1))</f>
        <v>1</v>
      </c>
      <c r="AR141" s="39">
        <f>M141+P141+S141+V141+Y141+AB141+AE141+AH141+AK141+AN141+AQ141</f>
        <v>4</v>
      </c>
    </row>
    <row r="142" spans="1:44" ht="13.2">
      <c r="A142" s="41">
        <v>140</v>
      </c>
      <c r="B142" s="42">
        <v>41992.765655578711</v>
      </c>
      <c r="C142" s="12" t="s">
        <v>848</v>
      </c>
      <c r="D142" s="12" t="s">
        <v>849</v>
      </c>
      <c r="E142" s="12">
        <v>233602</v>
      </c>
      <c r="F142" s="23">
        <v>1</v>
      </c>
      <c r="G142" s="23">
        <f>INT(E142/100000)</f>
        <v>2</v>
      </c>
      <c r="H142" s="23">
        <f>INT(($E142-100000*G142)/10000)</f>
        <v>3</v>
      </c>
      <c r="I142" s="23">
        <f>INT(($E142-100000*G142-10000*H142)/1000)</f>
        <v>3</v>
      </c>
      <c r="J142" s="23">
        <f>INT(($E142-100000*$G142-10000*$H142-1000*$I142)/100)</f>
        <v>6</v>
      </c>
      <c r="K142" s="23">
        <f>INT(($E142-100000*$G142-10000*$H142-1000*$I142-100*$J142)/10)</f>
        <v>0</v>
      </c>
      <c r="L142" s="23">
        <f>INT(($E142-100000*$G142-10000*$H142-1000*$I142-100*$J142-10*$K142))</f>
        <v>2</v>
      </c>
      <c r="M142" s="24">
        <v>2</v>
      </c>
      <c r="N142" s="44" t="s">
        <v>850</v>
      </c>
      <c r="O142" s="26">
        <f>65+K142+10*LOG10(70+L142)+10*LOG10(100/(100+J142*20))</f>
        <v>80.149098156090631</v>
      </c>
      <c r="P142" s="24">
        <f>IF(N142="",0,IF(EXACT(RIGHT(N142,5),"dB(A)"),IF(ABS(VALUE(LEFT(N142,FIND(" ",N142,1)))-O142)&lt;=0.5,1,-1),-1))</f>
        <v>-1</v>
      </c>
      <c r="Q142" s="44" t="s">
        <v>851</v>
      </c>
      <c r="R142" s="26">
        <f>10*LOG10(10^((80+G142)/10)*(10+L142)*1000/16/3600+10^((85+H142)/10)*(10+K142)*3000/16/3600+10^((90+J142)/10)*(10+J142)*100/16/3600)</f>
        <v>86.74151320673937</v>
      </c>
      <c r="S142" s="24">
        <f>IF(Q142="",0,IF(EXACT(RIGHT(Q142,5),"dB(A)"),IF(ABS(VALUE(LEFT(Q142,FIND(" ",Q142,1)))-R142)&lt;=0.5,1,-1),-1))</f>
        <v>-1</v>
      </c>
      <c r="T142" s="12" t="s">
        <v>852</v>
      </c>
      <c r="U142" s="30">
        <f>4*(500+K142*10+L142)/(400+J142*10)/340*SQRT(8192/4/0.1)</f>
        <v>1.8373501785450956</v>
      </c>
      <c r="V142" s="24">
        <f>IF(T142="",0,IF(EXACT(RIGHT(T142,2)," s"),IF(ABS(VALUE(LEFT(T142,FIND(" ",T142,1)))-U142)&lt;=0.005,1,-1),-1))</f>
        <v>1</v>
      </c>
      <c r="W142" s="12">
        <v>1024</v>
      </c>
      <c r="X142" s="36">
        <f>8*2^(5+L142)</f>
        <v>1024</v>
      </c>
      <c r="Y142" s="24">
        <f>IF(W142="",0,IF(ABS(W142-X142)&lt;=1,1,-1))</f>
        <v>1</v>
      </c>
      <c r="Z142" s="43"/>
      <c r="AA142" s="26">
        <f>10*LOG10(10^((60+L142-39.4)/10)+10^((63+L142-26.2)/10)+10^((66+L142-16.1)/10)+10^((69+L142-8.6)/10)+10^((72+L142-3.2)/10)+10^((75+L142)/10)+10^((78+L142+1.2)/10)+10^((81+L142+1)/10)+10^((84+L142-1.1)/10)+10^((87+L142-6.6)/10))</f>
        <v>89.684202566927453</v>
      </c>
      <c r="AB142" s="24">
        <f>IF(Z142="",0,IF(EXACT(RIGHT(Z142,5),"dB(A)"),IF(ABS(VALUE(LEFT(Z142,FIND(" ",Z142,1)))-AA142)&lt;=0.2,1,-1),-1))</f>
        <v>0</v>
      </c>
      <c r="AC142" s="12" t="s">
        <v>853</v>
      </c>
      <c r="AD142" s="26">
        <f>10*LOG10((10^((60+L142)/10)*(1+J142)+10^((65+K142)/10)*(2+I142/3))/(1+J142+2+I142/3))</f>
        <v>63.13468273216359</v>
      </c>
      <c r="AE142" s="24">
        <f>IF(AC142="",0,IF(EXACT(RIGHT(AC142,5),"dB(A)"),IF(ABS(VALUE(LEFT(AC142,FIND(" ",AC142,1)))-AD142)&lt;=0.5,1,-1),-1))</f>
        <v>1</v>
      </c>
      <c r="AF142" s="12" t="s">
        <v>854</v>
      </c>
      <c r="AG142" s="26">
        <f>90+K142+10*LOG10(4/(0.16*(300+J142*20)/(1+L142/10)))+3</f>
        <v>81.538719643217618</v>
      </c>
      <c r="AH142" s="24">
        <f>IF(AF142="",0,IF(EXACT(RIGHT(AF142,2),"dB"),IF(ABS(VALUE(LEFT(AF142,FIND(" ",AF142,1)))-AG142)&lt;=0.5,1,-1),-1))</f>
        <v>1</v>
      </c>
      <c r="AI142" s="12" t="s">
        <v>855</v>
      </c>
      <c r="AJ142" s="26">
        <f>10*LOG10(3+40*(2*SQRT(((10+K142)/2)^2+(3+L142/10)^2)-(10+K142))*100*(1+J142)/340)</f>
        <v>21.965046606115596</v>
      </c>
      <c r="AK142" s="24">
        <f>IF(AI142="",0,IF(EXACT(RIGHT(AI142,2),"dB"),IF(ABS(VALUE(LEFT(AI142,FIND(" ",AI142,1)))-AJ142)&lt;=0.5,1,-1),-1))</f>
        <v>-1</v>
      </c>
      <c r="AL142" s="12" t="s">
        <v>856</v>
      </c>
      <c r="AM142" s="26">
        <f>80+L142-(80+K142)</f>
        <v>2</v>
      </c>
      <c r="AN142" s="24">
        <f>IF(AL142="",0,IF(EXACT(RIGHT(AL142,2),"dB"),IF(ABS(VALUE(LEFT(AL142,FIND(" ",AL142,1)))-AM142)&lt;=0.5,1,-1),-1))</f>
        <v>1</v>
      </c>
      <c r="AO142" s="43"/>
      <c r="AP142" s="30">
        <f>((2^(5+L142))/2+1)/48</f>
        <v>1.3541666666666667</v>
      </c>
      <c r="AQ142" s="24">
        <f>IF(AO142="",0,IF(EXACT(RIGHT(AO142,2),"ms"),IF(ABS(VALUE(LEFT(AO142,FIND(" ",AO142,1)))-AP142)/AP142&lt;=0.02,1,-1),-1))</f>
        <v>0</v>
      </c>
      <c r="AR142" s="39">
        <f>M142+P142+S142+V142+Y142+AB142+AE142+AH142+AK142+AN142+AQ142</f>
        <v>4</v>
      </c>
    </row>
    <row r="143" spans="1:44" ht="13.2">
      <c r="A143" s="41">
        <v>141</v>
      </c>
      <c r="B143" s="42">
        <v>41992.767171539352</v>
      </c>
      <c r="C143" s="12" t="s">
        <v>1120</v>
      </c>
      <c r="D143" s="12" t="s">
        <v>1121</v>
      </c>
      <c r="E143" s="12">
        <v>242321</v>
      </c>
      <c r="F143" s="23">
        <v>1</v>
      </c>
      <c r="G143" s="23">
        <f>INT(E143/100000)</f>
        <v>2</v>
      </c>
      <c r="H143" s="23">
        <f>INT(($E143-100000*G143)/10000)</f>
        <v>4</v>
      </c>
      <c r="I143" s="23">
        <f>INT(($E143-100000*G143-10000*H143)/1000)</f>
        <v>2</v>
      </c>
      <c r="J143" s="23">
        <f>INT(($E143-100000*$G143-10000*$H143-1000*$I143)/100)</f>
        <v>3</v>
      </c>
      <c r="K143" s="23">
        <f>INT(($E143-100000*$G143-10000*$H143-1000*$I143-100*$J143)/10)</f>
        <v>2</v>
      </c>
      <c r="L143" s="23">
        <f>INT(($E143-100000*$G143-10000*$H143-1000*$I143-100*$J143-10*$K143))</f>
        <v>1</v>
      </c>
      <c r="M143" s="24">
        <v>2</v>
      </c>
      <c r="N143" s="12" t="s">
        <v>1122</v>
      </c>
      <c r="O143" s="26">
        <f>65+K143+10*LOG10(70+L143)+10*LOG10(100/(100+J143*20))</f>
        <v>83.471383660631503</v>
      </c>
      <c r="P143" s="24">
        <f>IF(N143="",0,IF(EXACT(RIGHT(N143,5),"dB(A)"),IF(ABS(VALUE(LEFT(N143,FIND(" ",N143,1)))-O143)&lt;=0.5,1,-1),-1))</f>
        <v>1</v>
      </c>
      <c r="Q143" s="43"/>
      <c r="R143" s="26">
        <f>10*LOG10(10^((80+G143)/10)*(10+L143)*1000/16/3600+10^((85+H143)/10)*(10+K143)*3000/16/3600+10^((90+J143)/10)*(10+J143)*100/16/3600)</f>
        <v>87.572093378383173</v>
      </c>
      <c r="S143" s="24">
        <f>IF(Q143="",0,IF(EXACT(RIGHT(Q143,5),"dB(A)"),IF(ABS(VALUE(LEFT(Q143,FIND(" ",Q143,1)))-R143)&lt;=0.5,1,-1),-1))</f>
        <v>0</v>
      </c>
      <c r="T143" s="12" t="s">
        <v>1123</v>
      </c>
      <c r="U143" s="30">
        <f>4*(500+K143*10+L143)/(400+J143*10)/340*SQRT(8192/4/0.1)</f>
        <v>2.039930250116361</v>
      </c>
      <c r="V143" s="24">
        <f>IF(T143="",0,IF(EXACT(RIGHT(T143,2)," s"),IF(ABS(VALUE(LEFT(T143,FIND(" ",T143,1)))-U143)&lt;=0.005,1,-1),-1))</f>
        <v>-1</v>
      </c>
      <c r="W143" s="12">
        <v>512</v>
      </c>
      <c r="X143" s="36">
        <f>8*2^(5+L143)</f>
        <v>512</v>
      </c>
      <c r="Y143" s="24">
        <f>IF(W143="",0,IF(ABS(W143-X143)&lt;=1,1,-1))</f>
        <v>1</v>
      </c>
      <c r="Z143" s="43"/>
      <c r="AA143" s="26">
        <f>10*LOG10(10^((60+L143-39.4)/10)+10^((63+L143-26.2)/10)+10^((66+L143-16.1)/10)+10^((69+L143-8.6)/10)+10^((72+L143-3.2)/10)+10^((75+L143)/10)+10^((78+L143+1.2)/10)+10^((81+L143+1)/10)+10^((84+L143-1.1)/10)+10^((87+L143-6.6)/10))</f>
        <v>88.684202566927453</v>
      </c>
      <c r="AB143" s="24">
        <f>IF(Z143="",0,IF(EXACT(RIGHT(Z143,5),"dB(A)"),IF(ABS(VALUE(LEFT(Z143,FIND(" ",Z143,1)))-AA143)&lt;=0.2,1,-1),-1))</f>
        <v>0</v>
      </c>
      <c r="AC143" s="12" t="s">
        <v>1124</v>
      </c>
      <c r="AD143" s="26">
        <f>10*LOG10((10^((60+L143)/10)*(1+J143)+10^((65+K143)/10)*(2+I143/3))/(1+J143+2+I143/3))</f>
        <v>64.409254750484862</v>
      </c>
      <c r="AE143" s="24">
        <f>IF(AC143="",0,IF(EXACT(RIGHT(AC143,5),"dB(A)"),IF(ABS(VALUE(LEFT(AC143,FIND(" ",AC143,1)))-AD143)&lt;=0.5,1,-1),-1))</f>
        <v>1</v>
      </c>
      <c r="AF143" s="12" t="s">
        <v>1125</v>
      </c>
      <c r="AG143" s="26">
        <f>90+K143+10*LOG10(4/(0.16*(300+J143*20)/(1+L143/10)))+3</f>
        <v>83.830301930629759</v>
      </c>
      <c r="AH143" s="24">
        <f>IF(AF143="",0,IF(EXACT(RIGHT(AF143,2),"dB"),IF(ABS(VALUE(LEFT(AF143,FIND(" ",AF143,1)))-AG143)&lt;=0.5,1,-1),-1))</f>
        <v>-1</v>
      </c>
      <c r="AI143" s="12" t="s">
        <v>1126</v>
      </c>
      <c r="AJ143" s="26">
        <f>10*LOG10(3+40*(2*SQRT(((10+K143)/2)^2+(3+L143/10)^2)-(10+K143))*100*(1+J143)/340)</f>
        <v>18.687578673761042</v>
      </c>
      <c r="AK143" s="24">
        <f>IF(AI143="",0,IF(EXACT(RIGHT(AI143,2),"dB"),IF(ABS(VALUE(LEFT(AI143,FIND(" ",AI143,1)))-AJ143)&lt;=0.5,1,-1),-1))</f>
        <v>1</v>
      </c>
      <c r="AL143" s="12" t="s">
        <v>1127</v>
      </c>
      <c r="AM143" s="26">
        <f>80+L143-(80+K143)</f>
        <v>-1</v>
      </c>
      <c r="AN143" s="24">
        <f>IF(AL143="",0,IF(EXACT(RIGHT(AL143,2),"dB"),IF(ABS(VALUE(LEFT(AL143,FIND(" ",AL143,1)))-AM143)&lt;=0.5,1,-1),-1))</f>
        <v>1</v>
      </c>
      <c r="AO143" s="12" t="s">
        <v>1128</v>
      </c>
      <c r="AP143" s="30">
        <f>((2^(5+L143))/2+1)/48</f>
        <v>0.6875</v>
      </c>
      <c r="AQ143" s="24">
        <f>IF(AO143="",0,IF(EXACT(RIGHT(AO143,2),"ms"),IF(ABS(VALUE(LEFT(AO143,FIND(" ",AO143,1)))-AP143)/AP143&lt;=0.02,1,-1),-1))</f>
        <v>-1</v>
      </c>
      <c r="AR143" s="39">
        <f>M143+P143+S143+V143+Y143+AB143+AE143+AH143+AK143+AN143+AQ143</f>
        <v>4</v>
      </c>
    </row>
    <row r="144" spans="1:44" ht="13.2">
      <c r="A144" s="41">
        <v>142</v>
      </c>
      <c r="B144" s="42">
        <v>41992.753736122686</v>
      </c>
      <c r="C144" s="12" t="s">
        <v>50</v>
      </c>
      <c r="D144" s="12" t="s">
        <v>51</v>
      </c>
      <c r="E144" s="12">
        <v>239612</v>
      </c>
      <c r="F144" s="23">
        <v>1</v>
      </c>
      <c r="G144" s="23">
        <f>INT(E144/100000)</f>
        <v>2</v>
      </c>
      <c r="H144" s="23">
        <f>INT(($E144-100000*G144)/10000)</f>
        <v>3</v>
      </c>
      <c r="I144" s="23">
        <f>INT(($E144-100000*G144-10000*H144)/1000)</f>
        <v>9</v>
      </c>
      <c r="J144" s="23">
        <f>INT(($E144-100000*$G144-10000*$H144-1000*$I144)/100)</f>
        <v>6</v>
      </c>
      <c r="K144" s="23">
        <f>INT(($E144-100000*$G144-10000*$H144-1000*$I144-100*$J144)/10)</f>
        <v>1</v>
      </c>
      <c r="L144" s="23">
        <f>INT(($E144-100000*$G144-10000*$H144-1000*$I144-100*$J144-10*$K144))</f>
        <v>2</v>
      </c>
      <c r="M144" s="24">
        <v>2</v>
      </c>
      <c r="N144" s="45" t="s">
        <v>52</v>
      </c>
      <c r="O144" s="26">
        <f>65+K144+10*LOG10(70+L144)+10*LOG10(100/(100+J144*20))</f>
        <v>81.149098156090631</v>
      </c>
      <c r="P144" s="24">
        <f>IF(N144="",0,IF(EXACT(RIGHT(N144,5),"dB(A)"),IF(ABS(VALUE(LEFT(N144,FIND(" ",N144,1)))-O144)&lt;=0.5,1,-1),-1))</f>
        <v>1</v>
      </c>
      <c r="Q144" s="45" t="s">
        <v>53</v>
      </c>
      <c r="R144" s="26">
        <f>10*LOG10(10^((80+G144)/10)*(10+L144)*1000/16/3600+10^((85+H144)/10)*(10+K144)*3000/16/3600+10^((90+J144)/10)*(10+J144)*100/16/3600)</f>
        <v>87.033686945206483</v>
      </c>
      <c r="S144" s="24">
        <f>IF(Q144="",0,IF(EXACT(RIGHT(Q144,5),"dB(A)"),IF(ABS(VALUE(LEFT(Q144,FIND(" ",Q144,1)))-R144)&lt;=0.5,1,-1),-1))</f>
        <v>-1</v>
      </c>
      <c r="T144" s="12" t="s">
        <v>54</v>
      </c>
      <c r="U144" s="30">
        <f>4*(500+K144*10+L144)/(400+J144*10)/340*SQRT(8192/4/0.1)</f>
        <v>1.8739507797113328</v>
      </c>
      <c r="V144" s="24">
        <f>IF(T144="",0,IF(EXACT(RIGHT(T144,2)," s"),IF(ABS(VALUE(LEFT(T144,FIND(" ",T144,1)))-U144)&lt;=0.005,1,-1),-1))</f>
        <v>1</v>
      </c>
      <c r="W144" s="12">
        <v>1024</v>
      </c>
      <c r="X144" s="36">
        <f>8*2^(5+L144)</f>
        <v>1024</v>
      </c>
      <c r="Y144" s="24">
        <f>IF(W144="",0,IF(ABS(W144-X144)&lt;=1,1,-1))</f>
        <v>1</v>
      </c>
      <c r="Z144" s="43"/>
      <c r="AA144" s="26">
        <f>10*LOG10(10^((60+L144-39.4)/10)+10^((63+L144-26.2)/10)+10^((66+L144-16.1)/10)+10^((69+L144-8.6)/10)+10^((72+L144-3.2)/10)+10^((75+L144)/10)+10^((78+L144+1.2)/10)+10^((81+L144+1)/10)+10^((84+L144-1.1)/10)+10^((87+L144-6.6)/10))</f>
        <v>89.684202566927453</v>
      </c>
      <c r="AB144" s="24">
        <f>IF(Z144="",0,IF(EXACT(RIGHT(Z144,5),"dB(A)"),IF(ABS(VALUE(LEFT(Z144,FIND(" ",Z144,1)))-AA144)&lt;=0.2,1,-1),-1))</f>
        <v>0</v>
      </c>
      <c r="AC144" s="45" t="s">
        <v>55</v>
      </c>
      <c r="AD144" s="26">
        <f>10*LOG10((10^((60+L144)/10)*(1+J144)+10^((65+K144)/10)*(2+I144/3))/(1+J144+2+I144/3))</f>
        <v>64.121749963046099</v>
      </c>
      <c r="AE144" s="24">
        <f>IF(AC144="",0,IF(EXACT(RIGHT(AC144,5),"dB(A)"),IF(ABS(VALUE(LEFT(AC144,FIND(" ",AC144,1)))-AD144)&lt;=0.5,1,-1),-1))</f>
        <v>-1</v>
      </c>
      <c r="AF144" s="43"/>
      <c r="AG144" s="26">
        <f>90+K144+10*LOG10(4/(0.16*(300+J144*20)/(1+L144/10)))+3</f>
        <v>82.538719643217618</v>
      </c>
      <c r="AH144" s="24">
        <f>IF(AF144="",0,IF(EXACT(RIGHT(AF144,2),"dB"),IF(ABS(VALUE(LEFT(AF144,FIND(" ",AF144,1)))-AG144)&lt;=0.5,1,-1),-1))</f>
        <v>0</v>
      </c>
      <c r="AI144" s="45" t="s">
        <v>56</v>
      </c>
      <c r="AJ144" s="26">
        <f>10*LOG10(3+40*(2*SQRT(((10+K144)/2)^2+(3+L144/10)^2)-(10+K144))*100*(1+J144)/340)</f>
        <v>21.618770285785356</v>
      </c>
      <c r="AK144" s="24">
        <f>IF(AI144="",0,IF(EXACT(RIGHT(AI144,2),"dB"),IF(ABS(VALUE(LEFT(AI144,FIND(" ",AI144,1)))-AJ144)&lt;=0.5,1,-1),-1))</f>
        <v>-1</v>
      </c>
      <c r="AL144" s="12" t="s">
        <v>57</v>
      </c>
      <c r="AM144" s="26">
        <f>80+L144-(80+K144)</f>
        <v>1</v>
      </c>
      <c r="AN144" s="24">
        <f>IF(AL144="",0,IF(EXACT(RIGHT(AL144,2),"dB"),IF(ABS(VALUE(LEFT(AL144,FIND(" ",AL144,1)))-AM144)&lt;=0.5,1,-1),-1))</f>
        <v>1</v>
      </c>
      <c r="AO144" s="12" t="s">
        <v>58</v>
      </c>
      <c r="AP144" s="30">
        <f>((2^(5+L144))/2+1)/48</f>
        <v>1.3541666666666667</v>
      </c>
      <c r="AQ144" s="24">
        <f>IF(AO144="",0,IF(EXACT(RIGHT(AO144,2),"ms"),IF(ABS(VALUE(LEFT(AO144,FIND(" ",AO144,1)))-AP144)/AP144&lt;=0.02,1,-1),-1))</f>
        <v>1</v>
      </c>
      <c r="AR144" s="39">
        <f>M144+P144+S144+V144+Y144+AB144+AE144+AH144+AK144+AN144+AQ144</f>
        <v>4</v>
      </c>
    </row>
    <row r="145" spans="1:44" ht="13.2">
      <c r="A145" s="41">
        <v>143</v>
      </c>
      <c r="B145" s="42">
        <v>41992.777326388888</v>
      </c>
      <c r="C145" s="43" t="s">
        <v>1537</v>
      </c>
      <c r="D145" s="12" t="s">
        <v>1536</v>
      </c>
      <c r="E145" s="47">
        <v>255160</v>
      </c>
      <c r="F145" s="23">
        <v>1</v>
      </c>
      <c r="G145" s="23">
        <f>INT(E145/100000)</f>
        <v>2</v>
      </c>
      <c r="H145" s="23">
        <f>INT(($E145-100000*G145)/10000)</f>
        <v>5</v>
      </c>
      <c r="I145" s="23">
        <f>INT(($E145-100000*G145-10000*H145)/1000)</f>
        <v>5</v>
      </c>
      <c r="J145" s="23">
        <f>INT(($E145-100000*$G145-10000*$H145-1000*$I145)/100)</f>
        <v>1</v>
      </c>
      <c r="K145" s="23">
        <f>INT(($E145-100000*$G145-10000*$H145-1000*$I145-100*$J145)/10)</f>
        <v>6</v>
      </c>
      <c r="L145" s="23">
        <f>INT(($E145-100000*$G145-10000*$H145-1000*$I145-100*$J145-10*$K145))</f>
        <v>0</v>
      </c>
      <c r="M145" s="24">
        <v>0</v>
      </c>
      <c r="N145" s="45" t="s">
        <v>1538</v>
      </c>
      <c r="O145" s="26">
        <f>65+K145+10*LOG10(70+L145)+10*LOG10(100/(100+J145*20))</f>
        <v>88.659167939666318</v>
      </c>
      <c r="P145" s="24">
        <f>IF(N145="",0,IF(EXACT(RIGHT(N145,5),"dB(A)"),IF(ABS(VALUE(LEFT(N145,FIND(" ",N145,1)))-O145)&lt;=0.5,1,-1),-1))</f>
        <v>1</v>
      </c>
      <c r="Q145" s="45" t="s">
        <v>1539</v>
      </c>
      <c r="R145" s="26">
        <f>10*LOG10(10^((80+G145)/10)*(10+L145)*1000/16/3600+10^((85+H145)/10)*(10+K145)*3000/16/3600+10^((90+J145)/10)*(10+J145)*100/16/3600)</f>
        <v>89.468896889471466</v>
      </c>
      <c r="S145" s="24">
        <f>IF(Q145="",0,IF(EXACT(RIGHT(Q145,5),"dB(A)"),IF(ABS(VALUE(LEFT(Q145,FIND(" ",Q145,1)))-R145)&lt;=0.5,1,-1),-1))</f>
        <v>1</v>
      </c>
      <c r="T145" s="47" t="s">
        <v>1540</v>
      </c>
      <c r="U145" s="30">
        <f>4*(500+K145*10+L145)/(400+J145*10)/340*SQRT(8192/4/0.1)</f>
        <v>2.2995889903469866</v>
      </c>
      <c r="V145" s="24">
        <f>IF(T145="",0,IF(EXACT(RIGHT(T145,2)," s"),IF(ABS(VALUE(LEFT(T145,FIND(" ",T145,1)))-U145)&lt;=0.005,1,-1),-1))</f>
        <v>-1</v>
      </c>
      <c r="W145" s="47">
        <v>256</v>
      </c>
      <c r="X145" s="36">
        <f>8*2^(5+L145)</f>
        <v>256</v>
      </c>
      <c r="Y145" s="24">
        <f>IF(W145="",0,IF(ABS(W145-X145)&lt;=1,1,-1))</f>
        <v>1</v>
      </c>
      <c r="Z145" s="43"/>
      <c r="AA145" s="26">
        <f>10*LOG10(10^((60+L145-39.4)/10)+10^((63+L145-26.2)/10)+10^((66+L145-16.1)/10)+10^((69+L145-8.6)/10)+10^((72+L145-3.2)/10)+10^((75+L145)/10)+10^((78+L145+1.2)/10)+10^((81+L145+1)/10)+10^((84+L145-1.1)/10)+10^((87+L145-6.6)/10))</f>
        <v>87.684202566927468</v>
      </c>
      <c r="AB145" s="24">
        <f>IF(Z145="",0,IF(EXACT(RIGHT(Z145,5),"dB(A)"),IF(ABS(VALUE(LEFT(Z145,FIND(" ",Z145,1)))-AA145)&lt;=0.2,1,-1),-1))</f>
        <v>0</v>
      </c>
      <c r="AC145" s="45" t="s">
        <v>1541</v>
      </c>
      <c r="AD145" s="26">
        <f>10*LOG10((10^((60+L145)/10)*(1+J145)+10^((65+K145)/10)*(2+I145/3))/(1+J145+2+I145/3))</f>
        <v>69.293642080674303</v>
      </c>
      <c r="AE145" s="24">
        <f>IF(AC145="",0,IF(EXACT(RIGHT(AC145,5),"dB(A)"),IF(ABS(VALUE(LEFT(AC145,FIND(" ",AC145,1)))-AD145)&lt;=0.5,1,-1),-1))</f>
        <v>1</v>
      </c>
      <c r="AF145" s="45" t="s">
        <v>1542</v>
      </c>
      <c r="AG145" s="26">
        <f>90+K145+10*LOG10(4/(0.16*(300+J145*20)/(1+L145/10)))+3</f>
        <v>87.927900303521312</v>
      </c>
      <c r="AH145" s="24">
        <f>IF(AF145="",0,IF(EXACT(RIGHT(AF145,2),"dB"),IF(ABS(VALUE(LEFT(AF145,FIND(" ",AF145,1)))-AG145)&lt;=0.5,1,-1),-1))</f>
        <v>1</v>
      </c>
      <c r="AI145" s="48" t="s">
        <v>1543</v>
      </c>
      <c r="AJ145" s="26">
        <f>10*LOG10(3+40*(2*SQRT(((10+K145)/2)^2+(3+L145/10)^2)-(10+K145))*100*(1+J145)/340)</f>
        <v>14.563687095020985</v>
      </c>
      <c r="AK145" s="24">
        <f>IF(AI145="",0,IF(EXACT(RIGHT(AI145,2),"dB"),IF(ABS(VALUE(LEFT(AI145,FIND(" ",AI145,1)))-AJ145)&lt;=0.5,1,-1),-1))</f>
        <v>-1</v>
      </c>
      <c r="AL145" s="49" t="s">
        <v>1304</v>
      </c>
      <c r="AM145" s="26">
        <f>80+L145-(80+K145)</f>
        <v>-6</v>
      </c>
      <c r="AN145" s="24">
        <f>IF(AL145="",0,IF(EXACT(RIGHT(AL145,2),"dB"),IF(ABS(VALUE(LEFT(AL145,FIND(" ",AL145,1)))-AM145)&lt;=0.5,1,-1),-1))</f>
        <v>1</v>
      </c>
      <c r="AO145" s="43"/>
      <c r="AP145" s="30">
        <f>((2^(5+L145))/2+1)/48</f>
        <v>0.35416666666666669</v>
      </c>
      <c r="AQ145" s="24">
        <f>IF(AO145="",0,IF(EXACT(RIGHT(AO145,2),"ms"),IF(ABS(VALUE(LEFT(AO145,FIND(" ",AO145,1)))-AP145)/AP145&lt;=0.02,1,-1),-1))</f>
        <v>0</v>
      </c>
      <c r="AR145" s="39">
        <f>M145+P145+S145+V145+Y145+AB145+AE145+AH145+AK145+AN145+AQ145</f>
        <v>4</v>
      </c>
    </row>
    <row r="146" spans="1:44" ht="13.2">
      <c r="A146" s="41">
        <v>144</v>
      </c>
      <c r="B146" s="42">
        <v>41992.752204247692</v>
      </c>
      <c r="C146" s="12" t="s">
        <v>28</v>
      </c>
      <c r="D146" s="12" t="s">
        <v>29</v>
      </c>
      <c r="E146" s="12">
        <v>252532</v>
      </c>
      <c r="F146" s="23">
        <v>1</v>
      </c>
      <c r="G146" s="23">
        <f>INT(E146/100000)</f>
        <v>2</v>
      </c>
      <c r="H146" s="23">
        <f>INT(($E146-100000*G146)/10000)</f>
        <v>5</v>
      </c>
      <c r="I146" s="23">
        <f>INT(($E146-100000*G146-10000*H146)/1000)</f>
        <v>2</v>
      </c>
      <c r="J146" s="23">
        <f>INT(($E146-100000*$G146-10000*$H146-1000*$I146)/100)</f>
        <v>5</v>
      </c>
      <c r="K146" s="23">
        <f>INT(($E146-100000*$G146-10000*$H146-1000*$I146-100*$J146)/10)</f>
        <v>3</v>
      </c>
      <c r="L146" s="23">
        <f>INT(($E146-100000*$G146-10000*$H146-1000*$I146-100*$J146-10*$K146))</f>
        <v>2</v>
      </c>
      <c r="M146" s="24">
        <v>2</v>
      </c>
      <c r="N146" s="43"/>
      <c r="O146" s="26">
        <f>65+K146+10*LOG10(70+L146)+10*LOG10(100/(100+J146*20))</f>
        <v>83.563025007672877</v>
      </c>
      <c r="P146" s="24">
        <f>IF(N146="",0,IF(EXACT(RIGHT(N146,5),"dB(A)"),IF(ABS(VALUE(LEFT(N146,FIND(" ",N146,1)))-O146)&lt;=0.5,1,-1),-1))</f>
        <v>0</v>
      </c>
      <c r="Q146" s="43"/>
      <c r="R146" s="26">
        <f>10*LOG10(10^((80+G146)/10)*(10+L146)*1000/16/3600+10^((85+H146)/10)*(10+K146)*3000/16/3600+10^((90+J146)/10)*(10+J146)*100/16/3600)</f>
        <v>88.989734712464866</v>
      </c>
      <c r="S146" s="24">
        <f>IF(Q146="",0,IF(EXACT(RIGHT(Q146,5),"dB(A)"),IF(ABS(VALUE(LEFT(Q146,FIND(" ",Q146,1)))-R146)&lt;=0.5,1,-1),-1))</f>
        <v>0</v>
      </c>
      <c r="T146" s="43"/>
      <c r="U146" s="30">
        <f>4*(500+K146*10+L146)/(400+J146*10)/340*SQRT(8192/4/0.1)</f>
        <v>1.9904220260892247</v>
      </c>
      <c r="V146" s="24">
        <f>IF(T146="",0,IF(EXACT(RIGHT(T146,2)," s"),IF(ABS(VALUE(LEFT(T146,FIND(" ",T146,1)))-U146)&lt;=0.005,1,-1),-1))</f>
        <v>0</v>
      </c>
      <c r="W146" s="12">
        <v>1024</v>
      </c>
      <c r="X146" s="36">
        <f>8*2^(5+L146)</f>
        <v>1024</v>
      </c>
      <c r="Y146" s="24">
        <f>IF(W146="",0,IF(ABS(W146-X146)&lt;=1,1,-1))</f>
        <v>1</v>
      </c>
      <c r="Z146" s="43"/>
      <c r="AA146" s="26">
        <f>10*LOG10(10^((60+L146-39.4)/10)+10^((63+L146-26.2)/10)+10^((66+L146-16.1)/10)+10^((69+L146-8.6)/10)+10^((72+L146-3.2)/10)+10^((75+L146)/10)+10^((78+L146+1.2)/10)+10^((81+L146+1)/10)+10^((84+L146-1.1)/10)+10^((87+L146-6.6)/10))</f>
        <v>89.684202566927453</v>
      </c>
      <c r="AB146" s="24">
        <f>IF(Z146="",0,IF(EXACT(RIGHT(Z146,5),"dB(A)"),IF(ABS(VALUE(LEFT(Z146,FIND(" ",Z146,1)))-AA146)&lt;=0.2,1,-1),-1))</f>
        <v>0</v>
      </c>
      <c r="AC146" s="43"/>
      <c r="AD146" s="26">
        <f>10*LOG10((10^((60+L146)/10)*(1+J146)+10^((65+K146)/10)*(2+I146/3))/(1+J146+2+I146/3))</f>
        <v>64.826793880513605</v>
      </c>
      <c r="AE146" s="24">
        <f>IF(AC146="",0,IF(EXACT(RIGHT(AC146,5),"dB(A)"),IF(ABS(VALUE(LEFT(AC146,FIND(" ",AC146,1)))-AD146)&lt;=0.5,1,-1),-1))</f>
        <v>0</v>
      </c>
      <c r="AF146" s="43"/>
      <c r="AG146" s="26">
        <f>90+K146+10*LOG10(4/(0.16*(300+J146*20)/(1+L146/10)))+3</f>
        <v>84.750612633917001</v>
      </c>
      <c r="AH146" s="24">
        <f>IF(AF146="",0,IF(EXACT(RIGHT(AF146,2),"dB"),IF(ABS(VALUE(LEFT(AF146,FIND(" ",AF146,1)))-AG146)&lt;=0.5,1,-1),-1))</f>
        <v>0</v>
      </c>
      <c r="AI146" s="43"/>
      <c r="AJ146" s="26">
        <f>10*LOG10(3+40*(2*SQRT(((10+K146)/2)^2+(3+L146/10)^2)-(10+K146))*100*(1+J146)/340)</f>
        <v>20.341318299788497</v>
      </c>
      <c r="AK146" s="24">
        <f>IF(AI146="",0,IF(EXACT(RIGHT(AI146,2),"dB"),IF(ABS(VALUE(LEFT(AI146,FIND(" ",AI146,1)))-AJ146)&lt;=0.5,1,-1),-1))</f>
        <v>0</v>
      </c>
      <c r="AL146" s="43"/>
      <c r="AM146" s="26">
        <f>80+L146-(80+K146)</f>
        <v>-1</v>
      </c>
      <c r="AN146" s="24">
        <f>IF(AL146="",0,IF(EXACT(RIGHT(AL146,2),"dB"),IF(ABS(VALUE(LEFT(AL146,FIND(" ",AL146,1)))-AM146)&lt;=0.5,1,-1),-1))</f>
        <v>0</v>
      </c>
      <c r="AO146" s="43"/>
      <c r="AP146" s="30">
        <f>((2^(5+L146))/2+1)/48</f>
        <v>1.3541666666666667</v>
      </c>
      <c r="AQ146" s="24">
        <f>IF(AO146="",0,IF(EXACT(RIGHT(AO146,2),"ms"),IF(ABS(VALUE(LEFT(AO146,FIND(" ",AO146,1)))-AP146)/AP146&lt;=0.02,1,-1),-1))</f>
        <v>0</v>
      </c>
      <c r="AR146" s="39">
        <f>M146+P146+S146+V146+Y146+AB146+AE146+AH146+AK146+AN146+AQ146</f>
        <v>3</v>
      </c>
    </row>
    <row r="147" spans="1:44" ht="13.2">
      <c r="A147" s="41">
        <v>145</v>
      </c>
      <c r="B147" s="42">
        <v>41992.754367986112</v>
      </c>
      <c r="C147" s="12" t="s">
        <v>68</v>
      </c>
      <c r="D147" s="12" t="s">
        <v>69</v>
      </c>
      <c r="E147" s="12">
        <v>130589</v>
      </c>
      <c r="F147" s="23">
        <v>1</v>
      </c>
      <c r="G147" s="23">
        <f>INT(E147/100000)</f>
        <v>1</v>
      </c>
      <c r="H147" s="23">
        <f>INT(($E147-100000*G147)/10000)</f>
        <v>3</v>
      </c>
      <c r="I147" s="23">
        <f>INT(($E147-100000*G147-10000*H147)/1000)</f>
        <v>0</v>
      </c>
      <c r="J147" s="23">
        <f>INT(($E147-100000*$G147-10000*$H147-1000*$I147)/100)</f>
        <v>5</v>
      </c>
      <c r="K147" s="23">
        <f>INT(($E147-100000*$G147-10000*$H147-1000*$I147-100*$J147)/10)</f>
        <v>8</v>
      </c>
      <c r="L147" s="23">
        <f>INT(($E147-100000*$G147-10000*$H147-1000*$I147-100*$J147-10*$K147))</f>
        <v>9</v>
      </c>
      <c r="M147" s="24">
        <v>2</v>
      </c>
      <c r="N147" s="43"/>
      <c r="O147" s="26">
        <f>65+K147+10*LOG10(70+L147)+10*LOG10(100/(100+J147*20))</f>
        <v>88.965970956264599</v>
      </c>
      <c r="P147" s="24">
        <f>IF(N147="",0,IF(EXACT(RIGHT(N147,5),"dB(A)"),IF(ABS(VALUE(LEFT(N147,FIND(" ",N147,1)))-O147)&lt;=0.5,1,-1),-1))</f>
        <v>0</v>
      </c>
      <c r="Q147" s="43"/>
      <c r="R147" s="26">
        <f>10*LOG10(10^((80+G147)/10)*(10+L147)*1000/16/3600+10^((85+H147)/10)*(10+K147)*3000/16/3600+10^((90+J147)/10)*(10+J147)*100/16/3600)</f>
        <v>88.545492664799198</v>
      </c>
      <c r="S147" s="24">
        <f>IF(Q147="",0,IF(EXACT(RIGHT(Q147,5),"dB(A)"),IF(ABS(VALUE(LEFT(Q147,FIND(" ",Q147,1)))-R147)&lt;=0.5,1,-1),-1))</f>
        <v>0</v>
      </c>
      <c r="T147" s="43"/>
      <c r="U147" s="30">
        <f>4*(500+K147*10+L147)/(400+J147*10)/340*SQRT(8192/4/0.1)</f>
        <v>2.2036815288844989</v>
      </c>
      <c r="V147" s="24">
        <f>IF(T147="",0,IF(EXACT(RIGHT(T147,2)," s"),IF(ABS(VALUE(LEFT(T147,FIND(" ",T147,1)))-U147)&lt;=0.005,1,-1),-1))</f>
        <v>0</v>
      </c>
      <c r="W147" s="12">
        <v>131072</v>
      </c>
      <c r="X147" s="36">
        <f>8*2^(5+L147)</f>
        <v>131072</v>
      </c>
      <c r="Y147" s="24">
        <f>IF(W147="",0,IF(ABS(W147-X147)&lt;=1,1,-1))</f>
        <v>1</v>
      </c>
      <c r="Z147" s="43"/>
      <c r="AA147" s="26">
        <f>10*LOG10(10^((60+L147-39.4)/10)+10^((63+L147-26.2)/10)+10^((66+L147-16.1)/10)+10^((69+L147-8.6)/10)+10^((72+L147-3.2)/10)+10^((75+L147)/10)+10^((78+L147+1.2)/10)+10^((81+L147+1)/10)+10^((84+L147-1.1)/10)+10^((87+L147-6.6)/10))</f>
        <v>96.684202566927439</v>
      </c>
      <c r="AB147" s="24">
        <f>IF(Z147="",0,IF(EXACT(RIGHT(Z147,5),"dB(A)"),IF(ABS(VALUE(LEFT(Z147,FIND(" ",Z147,1)))-AA147)&lt;=0.2,1,-1),-1))</f>
        <v>0</v>
      </c>
      <c r="AC147" s="43"/>
      <c r="AD147" s="26">
        <f>10*LOG10((10^((60+L147)/10)*(1+J147)+10^((65+K147)/10)*(2+I147/3))/(1+J147+2+I147/3))</f>
        <v>70.39240269335609</v>
      </c>
      <c r="AE147" s="24">
        <f>IF(AC147="",0,IF(EXACT(RIGHT(AC147,5),"dB(A)"),IF(ABS(VALUE(LEFT(AC147,FIND(" ",AC147,1)))-AD147)&lt;=0.5,1,-1),-1))</f>
        <v>0</v>
      </c>
      <c r="AF147" s="43"/>
      <c r="AG147" s="26">
        <f>90+K147+10*LOG10(4/(0.16*(300+J147*20)/(1+L147/10)))+3</f>
        <v>91.746336182969046</v>
      </c>
      <c r="AH147" s="24">
        <f>IF(AF147="",0,IF(EXACT(RIGHT(AF147,2),"dB"),IF(ABS(VALUE(LEFT(AF147,FIND(" ",AF147,1)))-AG147)&lt;=0.5,1,-1),-1))</f>
        <v>0</v>
      </c>
      <c r="AI147" s="43"/>
      <c r="AJ147" s="26">
        <f>10*LOG10(3+40*(2*SQRT(((10+K147)/2)^2+(3+L147/10)^2)-(10+K147))*100*(1+J147)/340)</f>
        <v>20.687983597508325</v>
      </c>
      <c r="AK147" s="24">
        <f>IF(AI147="",0,IF(EXACT(RIGHT(AI147,2),"dB"),IF(ABS(VALUE(LEFT(AI147,FIND(" ",AI147,1)))-AJ147)&lt;=0.5,1,-1),-1))</f>
        <v>0</v>
      </c>
      <c r="AL147" s="43"/>
      <c r="AM147" s="26">
        <f>80+L147-(80+K147)</f>
        <v>1</v>
      </c>
      <c r="AN147" s="24">
        <f>IF(AL147="",0,IF(EXACT(RIGHT(AL147,2),"dB"),IF(ABS(VALUE(LEFT(AL147,FIND(" ",AL147,1)))-AM147)&lt;=0.5,1,-1),-1))</f>
        <v>0</v>
      </c>
      <c r="AO147" s="43"/>
      <c r="AP147" s="30">
        <f>((2^(5+L147))/2+1)/48</f>
        <v>170.6875</v>
      </c>
      <c r="AQ147" s="24">
        <f>IF(AO147="",0,IF(EXACT(RIGHT(AO147,2),"ms"),IF(ABS(VALUE(LEFT(AO147,FIND(" ",AO147,1)))-AP147)/AP147&lt;=0.02,1,-1),-1))</f>
        <v>0</v>
      </c>
      <c r="AR147" s="39">
        <f>M147+P147+S147+V147+Y147+AB147+AE147+AH147+AK147+AN147+AQ147</f>
        <v>3</v>
      </c>
    </row>
    <row r="148" spans="1:44" ht="13.2">
      <c r="A148" s="41">
        <v>146</v>
      </c>
      <c r="B148" s="42">
        <v>41992.758468194443</v>
      </c>
      <c r="C148" s="12" t="s">
        <v>32</v>
      </c>
      <c r="D148" s="12" t="s">
        <v>33</v>
      </c>
      <c r="E148" s="12">
        <v>231121</v>
      </c>
      <c r="F148" s="23">
        <v>1</v>
      </c>
      <c r="G148" s="23">
        <f>INT(E148/100000)</f>
        <v>2</v>
      </c>
      <c r="H148" s="23">
        <f>INT(($E148-100000*G148)/10000)</f>
        <v>3</v>
      </c>
      <c r="I148" s="23">
        <f>INT(($E148-100000*G148-10000*H148)/1000)</f>
        <v>1</v>
      </c>
      <c r="J148" s="23">
        <f>INT(($E148-100000*$G148-10000*$H148-1000*$I148)/100)</f>
        <v>1</v>
      </c>
      <c r="K148" s="23">
        <f>INT(($E148-100000*$G148-10000*$H148-1000*$I148-100*$J148)/10)</f>
        <v>2</v>
      </c>
      <c r="L148" s="23">
        <f>INT(($E148-100000*$G148-10000*$H148-1000*$I148-100*$J148-10*$K148))</f>
        <v>1</v>
      </c>
      <c r="M148" s="24">
        <v>2</v>
      </c>
      <c r="N148" s="12" t="s">
        <v>34</v>
      </c>
      <c r="O148" s="26">
        <f>65+K148+10*LOG10(70+L148)+10*LOG10(100/(100+J148*20))</f>
        <v>84.720771026714502</v>
      </c>
      <c r="P148" s="24">
        <f>IF(N148="",0,IF(EXACT(RIGHT(N148,5),"dB(A)"),IF(ABS(VALUE(LEFT(N148,FIND(" ",N148,1)))-O148)&lt;=0.5,1,-1),-1))</f>
        <v>1</v>
      </c>
      <c r="Q148" s="12" t="s">
        <v>35</v>
      </c>
      <c r="R148" s="26">
        <f>10*LOG10(10^((80+G148)/10)*(10+L148)*1000/16/3600+10^((85+H148)/10)*(10+K148)*3000/16/3600+10^((90+J148)/10)*(10+J148)*100/16/3600)</f>
        <v>86.519148121580088</v>
      </c>
      <c r="S148" s="24">
        <f>IF(Q148="",0,IF(EXACT(RIGHT(Q148,5),"dB(A)"),IF(ABS(VALUE(LEFT(Q148,FIND(" ",Q148,1)))-R148)&lt;=0.5,1,-1),-1))</f>
        <v>-1</v>
      </c>
      <c r="T148" s="45" t="s">
        <v>36</v>
      </c>
      <c r="U148" s="30">
        <f>4*(500+K148*10+L148)/(400+J148*10)/340*SQRT(8192/4/0.1)</f>
        <v>2.1394390428049639</v>
      </c>
      <c r="V148" s="24">
        <f>IF(T148="",0,IF(EXACT(RIGHT(T148,2)," s"),IF(ABS(VALUE(LEFT(T148,FIND(" ",T148,1)))-U148)&lt;=0.005,1,-1),-1))</f>
        <v>-1</v>
      </c>
      <c r="W148" s="12">
        <v>512</v>
      </c>
      <c r="X148" s="36">
        <f>8*2^(5+L148)</f>
        <v>512</v>
      </c>
      <c r="Y148" s="24">
        <f>IF(W148="",0,IF(ABS(W148-X148)&lt;=1,1,-1))</f>
        <v>1</v>
      </c>
      <c r="Z148" s="43"/>
      <c r="AA148" s="26">
        <f>10*LOG10(10^((60+L148-39.4)/10)+10^((63+L148-26.2)/10)+10^((66+L148-16.1)/10)+10^((69+L148-8.6)/10)+10^((72+L148-3.2)/10)+10^((75+L148)/10)+10^((78+L148+1.2)/10)+10^((81+L148+1)/10)+10^((84+L148-1.1)/10)+10^((87+L148-6.6)/10))</f>
        <v>88.684202566927453</v>
      </c>
      <c r="AB148" s="24">
        <f>IF(Z148="",0,IF(EXACT(RIGHT(Z148,5),"dB(A)"),IF(ABS(VALUE(LEFT(Z148,FIND(" ",Z148,1)))-AA148)&lt;=0.2,1,-1),-1))</f>
        <v>0</v>
      </c>
      <c r="AC148" s="12" t="s">
        <v>37</v>
      </c>
      <c r="AD148" s="26">
        <f>10*LOG10((10^((60+L148)/10)*(1+J148)+10^((65+K148)/10)*(2+I148/3))/(1+J148+2+I148/3))</f>
        <v>65.158398120310807</v>
      </c>
      <c r="AE148" s="24">
        <f>IF(AC148="",0,IF(EXACT(RIGHT(AC148,5),"dB(A)"),IF(ABS(VALUE(LEFT(AC148,FIND(" ",AC148,1)))-AD148)&lt;=0.5,1,-1),-1))</f>
        <v>1</v>
      </c>
      <c r="AF148" s="43"/>
      <c r="AG148" s="26">
        <f>90+K148+10*LOG10(4/(0.16*(300+J148*20)/(1+L148/10)))+3</f>
        <v>84.341827155103573</v>
      </c>
      <c r="AH148" s="24">
        <f>IF(AF148="",0,IF(EXACT(RIGHT(AF148,2),"dB"),IF(ABS(VALUE(LEFT(AF148,FIND(" ",AF148,1)))-AG148)&lt;=0.5,1,-1),-1))</f>
        <v>0</v>
      </c>
      <c r="AI148" s="12" t="s">
        <v>38</v>
      </c>
      <c r="AJ148" s="26">
        <f>10*LOG10(3+40*(2*SQRT(((10+K148)/2)^2+(3+L148/10)^2)-(10+K148))*100*(1+J148)/340)</f>
        <v>15.85005348616221</v>
      </c>
      <c r="AK148" s="24">
        <f>IF(AI148="",0,IF(EXACT(RIGHT(AI148,2),"dB"),IF(ABS(VALUE(LEFT(AI148,FIND(" ",AI148,1)))-AJ148)&lt;=0.5,1,-1),-1))</f>
        <v>-1</v>
      </c>
      <c r="AL148" s="12" t="s">
        <v>39</v>
      </c>
      <c r="AM148" s="26">
        <f>80+L148-(80+K148)</f>
        <v>-1</v>
      </c>
      <c r="AN148" s="24">
        <f>IF(AL148="",0,IF(EXACT(RIGHT(AL148,2),"dB"),IF(ABS(VALUE(LEFT(AL148,FIND(" ",AL148,1)))-AM148)&lt;=0.5,1,-1),-1))</f>
        <v>1</v>
      </c>
      <c r="AO148" s="12" t="s">
        <v>40</v>
      </c>
      <c r="AP148" s="30">
        <f>((2^(5+L148))/2+1)/48</f>
        <v>0.6875</v>
      </c>
      <c r="AQ148" s="24">
        <f>IF(AO148="",0,IF(EXACT(RIGHT(AO148,2),"ms"),IF(ABS(VALUE(LEFT(AO148,FIND(" ",AO148,1)))-AP148)/AP148&lt;=0.02,1,-1),-1))</f>
        <v>-1</v>
      </c>
      <c r="AR148" s="39">
        <f>M148+P148+S148+V148+Y148+AB148+AE148+AH148+AK148+AN148+AQ148</f>
        <v>2</v>
      </c>
    </row>
    <row r="149" spans="1:44" ht="13.2">
      <c r="A149" s="41">
        <v>147</v>
      </c>
      <c r="B149" s="42">
        <v>41992.764802638892</v>
      </c>
      <c r="C149" s="12" t="s">
        <v>696</v>
      </c>
      <c r="D149" s="12" t="s">
        <v>697</v>
      </c>
      <c r="E149" s="12">
        <v>190886</v>
      </c>
      <c r="F149" s="23">
        <v>1</v>
      </c>
      <c r="G149" s="23">
        <f>INT(E149/100000)</f>
        <v>1</v>
      </c>
      <c r="H149" s="23">
        <f>INT(($E149-100000*G149)/10000)</f>
        <v>9</v>
      </c>
      <c r="I149" s="23">
        <f>INT(($E149-100000*G149-10000*H149)/1000)</f>
        <v>0</v>
      </c>
      <c r="J149" s="23">
        <f>INT(($E149-100000*$G149-10000*$H149-1000*$I149)/100)</f>
        <v>8</v>
      </c>
      <c r="K149" s="23">
        <f>INT(($E149-100000*$G149-10000*$H149-1000*$I149-100*$J149)/10)</f>
        <v>8</v>
      </c>
      <c r="L149" s="23">
        <f>INT(($E149-100000*$G149-10000*$H149-1000*$I149-100*$J149-10*$K149))</f>
        <v>6</v>
      </c>
      <c r="M149" s="24">
        <v>2</v>
      </c>
      <c r="N149" s="45" t="s">
        <v>698</v>
      </c>
      <c r="O149" s="26">
        <f>65+K149+10*LOG10(70+L149)+10*LOG10(100/(100+J149*20))</f>
        <v>87.658402443099732</v>
      </c>
      <c r="P149" s="24">
        <f>IF(N149="",0,IF(EXACT(RIGHT(N149,5),"dB(A)"),IF(ABS(VALUE(LEFT(N149,FIND(" ",N149,1)))-O149)&lt;=0.5,1,-1),-1))</f>
        <v>1</v>
      </c>
      <c r="Q149" s="44" t="s">
        <v>699</v>
      </c>
      <c r="R149" s="26">
        <f>10*LOG10(10^((80+G149)/10)*(10+L149)*1000/16/3600+10^((85+H149)/10)*(10+K149)*3000/16/3600+10^((90+J149)/10)*(10+J149)*100/16/3600)</f>
        <v>94.128027827689863</v>
      </c>
      <c r="S149" s="24">
        <f>IF(Q149="",0,IF(EXACT(RIGHT(Q149,5),"dB(A)"),IF(ABS(VALUE(LEFT(Q149,FIND(" ",Q149,1)))-R149)&lt;=0.5,1,-1),-1))</f>
        <v>-1</v>
      </c>
      <c r="T149" s="45" t="s">
        <v>700</v>
      </c>
      <c r="U149" s="30">
        <f>4*(500+K149*10+L149)/(400+J149*10)/340*SQRT(8192/4/0.1)</f>
        <v>2.0554287604939248</v>
      </c>
      <c r="V149" s="24">
        <f>IF(T149="",0,IF(EXACT(RIGHT(T149,2)," s"),IF(ABS(VALUE(LEFT(T149,FIND(" ",T149,1)))-U149)&lt;=0.005,1,-1),-1))</f>
        <v>-1</v>
      </c>
      <c r="W149" s="12">
        <v>16384</v>
      </c>
      <c r="X149" s="36">
        <f>8*2^(5+L149)</f>
        <v>16384</v>
      </c>
      <c r="Y149" s="24">
        <f>IF(W149="",0,IF(ABS(W149-X149)&lt;=1,1,-1))</f>
        <v>1</v>
      </c>
      <c r="Z149" s="43"/>
      <c r="AA149" s="26">
        <f>10*LOG10(10^((60+L149-39.4)/10)+10^((63+L149-26.2)/10)+10^((66+L149-16.1)/10)+10^((69+L149-8.6)/10)+10^((72+L149-3.2)/10)+10^((75+L149)/10)+10^((78+L149+1.2)/10)+10^((81+L149+1)/10)+10^((84+L149-1.1)/10)+10^((87+L149-6.6)/10))</f>
        <v>93.684202566927453</v>
      </c>
      <c r="AB149" s="24">
        <f>IF(Z149="",0,IF(EXACT(RIGHT(Z149,5),"dB(A)"),IF(ABS(VALUE(LEFT(Z149,FIND(" ",Z149,1)))-AA149)&lt;=0.2,1,-1),-1))</f>
        <v>0</v>
      </c>
      <c r="AC149" s="45" t="s">
        <v>701</v>
      </c>
      <c r="AD149" s="26">
        <f>10*LOG10((10^((60+L149)/10)*(1+J149)+10^((65+K149)/10)*(2+I149/3))/(1+J149+2+I149/3))</f>
        <v>68.379033232660589</v>
      </c>
      <c r="AE149" s="24">
        <f>IF(AC149="",0,IF(EXACT(RIGHT(AC149,5),"dB(A)"),IF(ABS(VALUE(LEFT(AC149,FIND(" ",AC149,1)))-AD149)&lt;=0.5,1,-1),-1))</f>
        <v>-1</v>
      </c>
      <c r="AF149" s="45" t="s">
        <v>702</v>
      </c>
      <c r="AG149" s="26">
        <f>90+K149+10*LOG10(4/(0.16*(300+J149*20)/(1+L149/10)))+3</f>
        <v>90.393021596463882</v>
      </c>
      <c r="AH149" s="24">
        <f>IF(AF149="",0,IF(EXACT(RIGHT(AF149,2),"dB"),IF(ABS(VALUE(LEFT(AF149,FIND(" ",AF149,1)))-AG149)&lt;=0.5,1,-1),-1))</f>
        <v>1</v>
      </c>
      <c r="AI149" s="45" t="s">
        <v>703</v>
      </c>
      <c r="AJ149" s="26">
        <f>10*LOG10(3+40*(2*SQRT(((10+K149)/2)^2+(3+L149/10)^2)-(10+K149))*100*(1+J149)/340)</f>
        <v>21.755575069098676</v>
      </c>
      <c r="AK149" s="24">
        <f>IF(AI149="",0,IF(EXACT(RIGHT(AI149,2),"dB"),IF(ABS(VALUE(LEFT(AI149,FIND(" ",AI149,1)))-AJ149)&lt;=0.5,1,-1),-1))</f>
        <v>-1</v>
      </c>
      <c r="AL149" s="12" t="s">
        <v>704</v>
      </c>
      <c r="AM149" s="26">
        <f>80+L149-(80+K149)</f>
        <v>-2</v>
      </c>
      <c r="AN149" s="24">
        <f>IF(AL149="",0,IF(EXACT(RIGHT(AL149,2),"dB"),IF(ABS(VALUE(LEFT(AL149,FIND(" ",AL149,1)))-AM149)&lt;=0.5,1,-1),-1))</f>
        <v>1</v>
      </c>
      <c r="AO149" s="43"/>
      <c r="AP149" s="30">
        <f>((2^(5+L149))/2+1)/48</f>
        <v>21.354166666666668</v>
      </c>
      <c r="AQ149" s="24">
        <f>IF(AO149="",0,IF(EXACT(RIGHT(AO149,2),"ms"),IF(ABS(VALUE(LEFT(AO149,FIND(" ",AO149,1)))-AP149)/AP149&lt;=0.02,1,-1),-1))</f>
        <v>0</v>
      </c>
      <c r="AR149" s="39">
        <f>M149+P149+S149+V149+Y149+AB149+AE149+AH149+AK149+AN149+AQ149</f>
        <v>2</v>
      </c>
    </row>
    <row r="150" spans="1:44" ht="13.2">
      <c r="A150" s="41">
        <v>148</v>
      </c>
      <c r="B150" s="42">
        <v>41992.728847858802</v>
      </c>
      <c r="C150" s="12" t="s">
        <v>14</v>
      </c>
      <c r="D150" s="12" t="s">
        <v>15</v>
      </c>
      <c r="E150" s="12">
        <v>179307</v>
      </c>
      <c r="F150" s="23">
        <v>1</v>
      </c>
      <c r="G150" s="23">
        <f>INT(E150/100000)</f>
        <v>1</v>
      </c>
      <c r="H150" s="23">
        <f>INT(($E150-100000*G150)/10000)</f>
        <v>7</v>
      </c>
      <c r="I150" s="23">
        <f>INT(($E150-100000*G150-10000*H150)/1000)</f>
        <v>9</v>
      </c>
      <c r="J150" s="23">
        <f>INT(($E150-100000*$G150-10000*$H150-1000*$I150)/100)</f>
        <v>3</v>
      </c>
      <c r="K150" s="23">
        <f>INT(($E150-100000*$G150-10000*$H150-1000*$I150-100*$J150)/10)</f>
        <v>0</v>
      </c>
      <c r="L150" s="23">
        <f>INT(($E150-100000*$G150-10000*$H150-1000*$I150-100*$J150-10*$K150))</f>
        <v>7</v>
      </c>
      <c r="M150" s="24">
        <v>2</v>
      </c>
      <c r="N150" s="43"/>
      <c r="O150" s="26">
        <f>65+K150+10*LOG10(70+L150)+10*LOG10(100/(100+J150*20))</f>
        <v>81.823707425165566</v>
      </c>
      <c r="P150" s="24">
        <f>IF(N150="",0,IF(EXACT(RIGHT(N150,5),"dB(A)"),IF(ABS(VALUE(LEFT(N150,FIND(" ",N150,1)))-O150)&lt;=0.5,1,-1),-1))</f>
        <v>0</v>
      </c>
      <c r="Q150" s="43"/>
      <c r="R150" s="26">
        <f>10*LOG10(10^((80+G150)/10)*(10+L150)*1000/16/3600+10^((85+H150)/10)*(10+K150)*3000/16/3600+10^((90+J150)/10)*(10+J150)*100/16/3600)</f>
        <v>89.579198240348603</v>
      </c>
      <c r="S150" s="24">
        <f>IF(Q150="",0,IF(EXACT(RIGHT(Q150,5),"dB(A)"),IF(ABS(VALUE(LEFT(Q150,FIND(" ",Q150,1)))-R150)&lt;=0.5,1,-1),-1))</f>
        <v>0</v>
      </c>
      <c r="T150" s="43"/>
      <c r="U150" s="30">
        <f>4*(500+K150*10+L150)/(400+J150*10)/340*SQRT(8192/4/0.1)</f>
        <v>1.9851144660441362</v>
      </c>
      <c r="V150" s="24">
        <f>IF(T150="",0,IF(EXACT(RIGHT(T150,2)," s"),IF(ABS(VALUE(LEFT(T150,FIND(" ",T150,1)))-U150)&lt;=0.005,1,-1),-1))</f>
        <v>0</v>
      </c>
      <c r="W150" s="12">
        <v>32768</v>
      </c>
      <c r="X150" s="36">
        <f>8*2^(5+L150)</f>
        <v>32768</v>
      </c>
      <c r="Y150" s="24">
        <f>IF(W150="",0,IF(ABS(W150-X150)&lt;=1,1,-1))</f>
        <v>1</v>
      </c>
      <c r="Z150" s="12" t="s">
        <v>16</v>
      </c>
      <c r="AA150" s="26">
        <f>10*LOG10(10^((60+L150-39.4)/10)+10^((63+L150-26.2)/10)+10^((66+L150-16.1)/10)+10^((69+L150-8.6)/10)+10^((72+L150-3.2)/10)+10^((75+L150)/10)+10^((78+L150+1.2)/10)+10^((81+L150+1)/10)+10^((84+L150-1.1)/10)+10^((87+L150-6.6)/10))</f>
        <v>94.684202566927453</v>
      </c>
      <c r="AB150" s="24">
        <f>IF(Z150="",0,IF(EXACT(RIGHT(Z150,5),"dB(A)"),IF(ABS(VALUE(LEFT(Z150,FIND(" ",Z150,1)))-AA150)&lt;=0.2,1,-1),-1))</f>
        <v>-1</v>
      </c>
      <c r="AC150" s="12" t="s">
        <v>17</v>
      </c>
      <c r="AD150" s="26">
        <f>10*LOG10((10^((60+L150)/10)*(1+J150)+10^((65+K150)/10)*(2+I150/3))/(1+J150+2+I150/3))</f>
        <v>66.003541829311189</v>
      </c>
      <c r="AE150" s="24">
        <f>IF(AC150="",0,IF(EXACT(RIGHT(AC150,5),"dB(A)"),IF(ABS(VALUE(LEFT(AC150,FIND(" ",AC150,1)))-AD150)&lt;=0.5,1,-1),-1))</f>
        <v>-1</v>
      </c>
      <c r="AF150" s="43"/>
      <c r="AG150" s="26">
        <f>90+K150+10*LOG10(4/(0.16*(300+J150*20)/(1+L150/10)))+3</f>
        <v>83.720864292830242</v>
      </c>
      <c r="AH150" s="24">
        <f>IF(AF150="",0,IF(EXACT(RIGHT(AF150,2),"dB"),IF(ABS(VALUE(LEFT(AF150,FIND(" ",AF150,1)))-AG150)&lt;=0.5,1,-1),-1))</f>
        <v>0</v>
      </c>
      <c r="AI150" s="43"/>
      <c r="AJ150" s="26">
        <f>10*LOG10(3+40*(2*SQRT(((10+K150)/2)^2+(3+L150/10)^2)-(10+K150))*100*(1+J150)/340)</f>
        <v>20.712766444820687</v>
      </c>
      <c r="AK150" s="24">
        <f>IF(AI150="",0,IF(EXACT(RIGHT(AI150,2),"dB"),IF(ABS(VALUE(LEFT(AI150,FIND(" ",AI150,1)))-AJ150)&lt;=0.5,1,-1),-1))</f>
        <v>0</v>
      </c>
      <c r="AL150" s="43"/>
      <c r="AM150" s="26">
        <f>80+L150-(80+K150)</f>
        <v>7</v>
      </c>
      <c r="AN150" s="24">
        <f>IF(AL150="",0,IF(EXACT(RIGHT(AL150,2),"dB"),IF(ABS(VALUE(LEFT(AL150,FIND(" ",AL150,1)))-AM150)&lt;=0.5,1,-1),-1))</f>
        <v>0</v>
      </c>
      <c r="AO150" s="43"/>
      <c r="AP150" s="30">
        <f>((2^(5+L150))/2+1)/48</f>
        <v>42.6875</v>
      </c>
      <c r="AQ150" s="24">
        <f>IF(AO150="",0,IF(EXACT(RIGHT(AO150,2),"ms"),IF(ABS(VALUE(LEFT(AO150,FIND(" ",AO150,1)))-AP150)/AP150&lt;=0.02,1,-1),-1))</f>
        <v>0</v>
      </c>
      <c r="AR150" s="39">
        <f>M150+P150+S150+V150+Y150+AB150+AE150+AH150+AK150+AN150+AQ150</f>
        <v>1</v>
      </c>
    </row>
    <row r="151" spans="1:44" ht="13.2">
      <c r="A151" s="41">
        <v>149</v>
      </c>
      <c r="B151" s="42">
        <v>41992.753209537041</v>
      </c>
      <c r="C151" s="12" t="s">
        <v>30</v>
      </c>
      <c r="D151" s="12" t="s">
        <v>31</v>
      </c>
      <c r="E151" s="12">
        <v>255677</v>
      </c>
      <c r="F151" s="23">
        <v>1</v>
      </c>
      <c r="G151" s="23">
        <f>INT(E151/100000)</f>
        <v>2</v>
      </c>
      <c r="H151" s="23">
        <f>INT(($E151-100000*G151)/10000)</f>
        <v>5</v>
      </c>
      <c r="I151" s="23">
        <f>INT(($E151-100000*G151-10000*H151)/1000)</f>
        <v>5</v>
      </c>
      <c r="J151" s="23">
        <f>INT(($E151-100000*$G151-10000*$H151-1000*$I151)/100)</f>
        <v>6</v>
      </c>
      <c r="K151" s="23">
        <f>INT(($E151-100000*$G151-10000*$H151-1000*$I151-100*$J151)/10)</f>
        <v>7</v>
      </c>
      <c r="L151" s="23">
        <f>INT(($E151-100000*$G151-10000*$H151-1000*$I151-100*$J151-10*$K151))</f>
        <v>7</v>
      </c>
      <c r="M151" s="24">
        <v>2</v>
      </c>
      <c r="N151" s="43"/>
      <c r="O151" s="26">
        <f>65+K151+10*LOG10(70+L151)+10*LOG10(100/(100+J151*20))</f>
        <v>87.440680443502757</v>
      </c>
      <c r="P151" s="24">
        <f>IF(N151="",0,IF(EXACT(RIGHT(N151,5),"dB(A)"),IF(ABS(VALUE(LEFT(N151,FIND(" ",N151,1)))-O151)&lt;=0.5,1,-1),-1))</f>
        <v>0</v>
      </c>
      <c r="Q151" s="43"/>
      <c r="R151" s="26">
        <f>10*LOG10(10^((80+G151)/10)*(10+L151)*1000/16/3600+10^((85+H151)/10)*(10+K151)*3000/16/3600+10^((90+J151)/10)*(10+J151)*100/16/3600)</f>
        <v>90.181920072536755</v>
      </c>
      <c r="S151" s="24">
        <f>IF(Q151="",0,IF(EXACT(RIGHT(Q151,5),"dB(A)"),IF(ABS(VALUE(LEFT(Q151,FIND(" ",Q151,1)))-R151)&lt;=0.5,1,-1),-1))</f>
        <v>0</v>
      </c>
      <c r="T151" s="43"/>
      <c r="U151" s="30">
        <f>4*(500+K151*10+L151)/(400+J151*10)/340*SQRT(8192/4/0.1)</f>
        <v>2.1118546872918729</v>
      </c>
      <c r="V151" s="24">
        <f>IF(T151="",0,IF(EXACT(RIGHT(T151,2)," s"),IF(ABS(VALUE(LEFT(T151,FIND(" ",T151,1)))-U151)&lt;=0.005,1,-1),-1))</f>
        <v>0</v>
      </c>
      <c r="W151" s="12">
        <v>32678</v>
      </c>
      <c r="X151" s="36">
        <f>8*2^(5+L151)</f>
        <v>32768</v>
      </c>
      <c r="Y151" s="24">
        <f>IF(W151="",0,IF(ABS(W151-X151)&lt;=1,1,-1))</f>
        <v>-1</v>
      </c>
      <c r="Z151" s="43"/>
      <c r="AA151" s="26">
        <f>10*LOG10(10^((60+L151-39.4)/10)+10^((63+L151-26.2)/10)+10^((66+L151-16.1)/10)+10^((69+L151-8.6)/10)+10^((72+L151-3.2)/10)+10^((75+L151)/10)+10^((78+L151+1.2)/10)+10^((81+L151+1)/10)+10^((84+L151-1.1)/10)+10^((87+L151-6.6)/10))</f>
        <v>94.684202566927453</v>
      </c>
      <c r="AB151" s="24">
        <f>IF(Z151="",0,IF(EXACT(RIGHT(Z151,5),"dB(A)"),IF(ABS(VALUE(LEFT(Z151,FIND(" ",Z151,1)))-AA151)&lt;=0.2,1,-1),-1))</f>
        <v>0</v>
      </c>
      <c r="AC151" s="43"/>
      <c r="AD151" s="26">
        <f>10*LOG10((10^((60+L151)/10)*(1+J151)+10^((65+K151)/10)*(2+I151/3))/(1+J151+2+I151/3))</f>
        <v>69.413678815310945</v>
      </c>
      <c r="AE151" s="24">
        <f>IF(AC151="",0,IF(EXACT(RIGHT(AC151,5),"dB(A)"),IF(ABS(VALUE(LEFT(AC151,FIND(" ",AC151,1)))-AD151)&lt;=0.5,1,-1),-1))</f>
        <v>0</v>
      </c>
      <c r="AF151" s="43"/>
      <c r="AG151" s="26">
        <f>90+K151+10*LOG10(4/(0.16*(300+J151*20)/(1+L151/10)))+3</f>
        <v>90.051396396524112</v>
      </c>
      <c r="AH151" s="24">
        <f>IF(AF151="",0,IF(EXACT(RIGHT(AF151,2),"dB"),IF(ABS(VALUE(LEFT(AF151,FIND(" ",AF151,1)))-AG151)&lt;=0.5,1,-1),-1))</f>
        <v>0</v>
      </c>
      <c r="AI151" s="43"/>
      <c r="AJ151" s="26">
        <f>10*LOG10(3+40*(2*SQRT(((10+K151)/2)^2+(3+L151/10)^2)-(10+K151))*100*(1+J151)/340)</f>
        <v>21.135643591849082</v>
      </c>
      <c r="AK151" s="24">
        <f>IF(AI151="",0,IF(EXACT(RIGHT(AI151,2),"dB"),IF(ABS(VALUE(LEFT(AI151,FIND(" ",AI151,1)))-AJ151)&lt;=0.5,1,-1),-1))</f>
        <v>0</v>
      </c>
      <c r="AL151" s="43"/>
      <c r="AM151" s="26">
        <f>80+L151-(80+K151)</f>
        <v>0</v>
      </c>
      <c r="AN151" s="24">
        <f>IF(AL151="",0,IF(EXACT(RIGHT(AL151,2),"dB"),IF(ABS(VALUE(LEFT(AL151,FIND(" ",AL151,1)))-AM151)&lt;=0.5,1,-1),-1))</f>
        <v>0</v>
      </c>
      <c r="AO151" s="43"/>
      <c r="AP151" s="30">
        <f>((2^(5+L151))/2+1)/48</f>
        <v>42.6875</v>
      </c>
      <c r="AQ151" s="24">
        <f>IF(AO151="",0,IF(EXACT(RIGHT(AO151,2),"ms"),IF(ABS(VALUE(LEFT(AO151,FIND(" ",AO151,1)))-AP151)/AP151&lt;=0.02,1,-1),-1))</f>
        <v>0</v>
      </c>
      <c r="AR151" s="39">
        <f>M151+P151+S151+V151+Y151+AB151+AE151+AH151+AK151+AN151+AQ151</f>
        <v>1</v>
      </c>
    </row>
    <row r="152" spans="1:44" ht="13.2">
      <c r="A152" s="41">
        <v>150</v>
      </c>
      <c r="B152" s="42">
        <v>41992.758465115738</v>
      </c>
      <c r="C152" s="12" t="s">
        <v>41</v>
      </c>
      <c r="D152" s="12" t="s">
        <v>42</v>
      </c>
      <c r="E152" s="12">
        <v>231041</v>
      </c>
      <c r="F152" s="23">
        <v>1</v>
      </c>
      <c r="G152" s="23">
        <f>INT(E152/100000)</f>
        <v>2</v>
      </c>
      <c r="H152" s="23">
        <f>INT(($E152-100000*G152)/10000)</f>
        <v>3</v>
      </c>
      <c r="I152" s="23">
        <f>INT(($E152-100000*G152-10000*H152)/1000)</f>
        <v>1</v>
      </c>
      <c r="J152" s="23">
        <f>INT(($E152-100000*$G152-10000*$H152-1000*$I152)/100)</f>
        <v>0</v>
      </c>
      <c r="K152" s="23">
        <f>INT(($E152-100000*$G152-10000*$H152-1000*$I152-100*$J152)/10)</f>
        <v>4</v>
      </c>
      <c r="L152" s="23">
        <f>INT(($E152-100000*$G152-10000*$H152-1000*$I152-100*$J152-10*$K152))</f>
        <v>1</v>
      </c>
      <c r="M152" s="24">
        <v>2</v>
      </c>
      <c r="N152" s="12" t="s">
        <v>43</v>
      </c>
      <c r="O152" s="26">
        <f>65+K152+10*LOG10(70+L152)+10*LOG10(100/(100+J152*20))</f>
        <v>87.512583487190753</v>
      </c>
      <c r="P152" s="24">
        <f>IF(N152="",0,IF(EXACT(RIGHT(N152,5),"dB(A)"),IF(ABS(VALUE(LEFT(N152,FIND(" ",N152,1)))-O152)&lt;=0.5,1,-1),-1))</f>
        <v>1</v>
      </c>
      <c r="Q152" s="12" t="s">
        <v>44</v>
      </c>
      <c r="R152" s="26">
        <f>10*LOG10(10^((80+G152)/10)*(10+L152)*1000/16/3600+10^((85+H152)/10)*(10+K152)*3000/16/3600+10^((90+J152)/10)*(10+J152)*100/16/3600)</f>
        <v>87.056082175229477</v>
      </c>
      <c r="S152" s="24">
        <f>IF(Q152="",0,IF(EXACT(RIGHT(Q152,5),"dB(A)"),IF(ABS(VALUE(LEFT(Q152,FIND(" ",Q152,1)))-R152)&lt;=0.5,1,-1),-1))</f>
        <v>-1</v>
      </c>
      <c r="T152" s="45" t="s">
        <v>45</v>
      </c>
      <c r="U152" s="30">
        <f>4*(500+K152*10+L152)/(400+J152*10)/340*SQRT(8192/4/0.1)</f>
        <v>2.2771064015574334</v>
      </c>
      <c r="V152" s="24">
        <f>IF(T152="",0,IF(EXACT(RIGHT(T152,2)," s"),IF(ABS(VALUE(LEFT(T152,FIND(" ",T152,1)))-U152)&lt;=0.005,1,-1),-1))</f>
        <v>-1</v>
      </c>
      <c r="W152" s="12">
        <v>512</v>
      </c>
      <c r="X152" s="36">
        <f>8*2^(5+L152)</f>
        <v>512</v>
      </c>
      <c r="Y152" s="24">
        <f>IF(W152="",0,IF(ABS(W152-X152)&lt;=1,1,-1))</f>
        <v>1</v>
      </c>
      <c r="Z152" s="43"/>
      <c r="AA152" s="26">
        <f>10*LOG10(10^((60+L152-39.4)/10)+10^((63+L152-26.2)/10)+10^((66+L152-16.1)/10)+10^((69+L152-8.6)/10)+10^((72+L152-3.2)/10)+10^((75+L152)/10)+10^((78+L152+1.2)/10)+10^((81+L152+1)/10)+10^((84+L152-1.1)/10)+10^((87+L152-6.6)/10))</f>
        <v>88.684202566927453</v>
      </c>
      <c r="AB152" s="24">
        <f>IF(Z152="",0,IF(EXACT(RIGHT(Z152,5),"dB(A)"),IF(ABS(VALUE(LEFT(Z152,FIND(" ",Z152,1)))-AA152)&lt;=0.2,1,-1),-1))</f>
        <v>0</v>
      </c>
      <c r="AC152" s="12" t="s">
        <v>46</v>
      </c>
      <c r="AD152" s="26">
        <f>10*LOG10((10^((60+L152)/10)*(1+J152)+10^((65+K152)/10)*(2+I152/3))/(1+J152+2+I152/3))</f>
        <v>67.736383843011282</v>
      </c>
      <c r="AE152" s="24">
        <f>IF(AC152="",0,IF(EXACT(RIGHT(AC152,5),"dB(A)"),IF(ABS(VALUE(LEFT(AC152,FIND(" ",AC152,1)))-AD152)&lt;=0.5,1,-1),-1))</f>
        <v>-1</v>
      </c>
      <c r="AF152" s="43"/>
      <c r="AG152" s="26">
        <f>90+K152+10*LOG10(4/(0.16*(300+J152*20)/(1+L152/10)))+3</f>
        <v>86.62211439110601</v>
      </c>
      <c r="AH152" s="24">
        <f>IF(AF152="",0,IF(EXACT(RIGHT(AF152,2),"dB"),IF(ABS(VALUE(LEFT(AF152,FIND(" ",AF152,1)))-AG152)&lt;=0.5,1,-1),-1))</f>
        <v>0</v>
      </c>
      <c r="AI152" s="12" t="s">
        <v>47</v>
      </c>
      <c r="AJ152" s="26">
        <f>10*LOG10(3+40*(2*SQRT(((10+K152)/2)^2+(3+L152/10)^2)-(10+K152))*100*(1+J152)/340)</f>
        <v>12.654930745360033</v>
      </c>
      <c r="AK152" s="24">
        <f>IF(AI152="",0,IF(EXACT(RIGHT(AI152,2),"dB"),IF(ABS(VALUE(LEFT(AI152,FIND(" ",AI152,1)))-AJ152)&lt;=0.5,1,-1),-1))</f>
        <v>-1</v>
      </c>
      <c r="AL152" s="12" t="s">
        <v>48</v>
      </c>
      <c r="AM152" s="26">
        <f>80+L152-(80+K152)</f>
        <v>-3</v>
      </c>
      <c r="AN152" s="24">
        <f>IF(AL152="",0,IF(EXACT(RIGHT(AL152,2),"dB"),IF(ABS(VALUE(LEFT(AL152,FIND(" ",AL152,1)))-AM152)&lt;=0.5,1,-1),-1))</f>
        <v>1</v>
      </c>
      <c r="AO152" s="12" t="s">
        <v>49</v>
      </c>
      <c r="AP152" s="30">
        <f>((2^(5+L152))/2+1)/48</f>
        <v>0.6875</v>
      </c>
      <c r="AQ152" s="24">
        <f>IF(AO152="",0,IF(EXACT(RIGHT(AO152,2),"ms"),IF(ABS(VALUE(LEFT(AO152,FIND(" ",AO152,1)))-AP152)/AP152&lt;=0.02,1,-1),-1))</f>
        <v>-1</v>
      </c>
      <c r="AR152" s="39">
        <f>M152+P152+S152+V152+Y152+AB152+AE152+AH152+AK152+AN152+AQ152</f>
        <v>0</v>
      </c>
    </row>
    <row r="153" spans="1:44" ht="13.2">
      <c r="A153" s="41">
        <v>151</v>
      </c>
      <c r="B153" s="42">
        <v>41992.762270856481</v>
      </c>
      <c r="C153" s="12" t="s">
        <v>376</v>
      </c>
      <c r="D153" s="12" t="s">
        <v>377</v>
      </c>
      <c r="E153" s="12">
        <v>239485</v>
      </c>
      <c r="F153" s="23">
        <v>1</v>
      </c>
      <c r="G153" s="23">
        <f>INT(E153/100000)</f>
        <v>2</v>
      </c>
      <c r="H153" s="23">
        <f>INT(($E153-100000*G153)/10000)</f>
        <v>3</v>
      </c>
      <c r="I153" s="23">
        <f>INT(($E153-100000*G153-10000*H153)/1000)</f>
        <v>9</v>
      </c>
      <c r="J153" s="23">
        <f>INT(($E153-100000*$G153-10000*$H153-1000*$I153)/100)</f>
        <v>4</v>
      </c>
      <c r="K153" s="23">
        <f>INT(($E153-100000*$G153-10000*$H153-1000*$I153-100*$J153)/10)</f>
        <v>8</v>
      </c>
      <c r="L153" s="23">
        <f>INT(($E153-100000*$G153-10000*$H153-1000*$I153-100*$J153-10*$K153))</f>
        <v>5</v>
      </c>
      <c r="M153" s="24">
        <v>2</v>
      </c>
      <c r="N153" s="43"/>
      <c r="O153" s="26">
        <f>65+K153+10*LOG10(70+L153)+10*LOG10(100/(100+J153*20))</f>
        <v>89.197887582883936</v>
      </c>
      <c r="P153" s="24">
        <f>IF(N153="",0,IF(EXACT(RIGHT(N153,5),"dB(A)"),IF(ABS(VALUE(LEFT(N153,FIND(" ",N153,1)))-O153)&lt;=0.5,1,-1),-1))</f>
        <v>0</v>
      </c>
      <c r="Q153" s="44" t="s">
        <v>378</v>
      </c>
      <c r="R153" s="26">
        <f>10*LOG10(10^((80+G153)/10)*(10+L153)*1000/16/3600+10^((85+H153)/10)*(10+K153)*3000/16/3600+10^((90+J153)/10)*(10+J153)*100/16/3600)</f>
        <v>88.412646949812085</v>
      </c>
      <c r="S153" s="24">
        <f>IF(Q153="",0,IF(EXACT(RIGHT(Q153,5),"dB(A)"),IF(ABS(VALUE(LEFT(Q153,FIND(" ",Q153,1)))-R153)&lt;=0.5,1,-1),-1))</f>
        <v>-1</v>
      </c>
      <c r="T153" s="43"/>
      <c r="U153" s="30">
        <f>4*(500+K153*10+L153)/(400+J153*10)/340*SQRT(8192/4/0.1)</f>
        <v>2.2384594940532656</v>
      </c>
      <c r="V153" s="24">
        <f>IF(T153="",0,IF(EXACT(RIGHT(T153,2)," s"),IF(ABS(VALUE(LEFT(T153,FIND(" ",T153,1)))-U153)&lt;=0.005,1,-1),-1))</f>
        <v>0</v>
      </c>
      <c r="W153" s="12">
        <v>8192</v>
      </c>
      <c r="X153" s="36">
        <f>8*2^(5+L153)</f>
        <v>8192</v>
      </c>
      <c r="Y153" s="24">
        <f>IF(W153="",0,IF(ABS(W153-X153)&lt;=1,1,-1))</f>
        <v>1</v>
      </c>
      <c r="Z153" s="43"/>
      <c r="AA153" s="26">
        <f>10*LOG10(10^((60+L153-39.4)/10)+10^((63+L153-26.2)/10)+10^((66+L153-16.1)/10)+10^((69+L153-8.6)/10)+10^((72+L153-3.2)/10)+10^((75+L153)/10)+10^((78+L153+1.2)/10)+10^((81+L153+1)/10)+10^((84+L153-1.1)/10)+10^((87+L153-6.6)/10))</f>
        <v>92.684202566927439</v>
      </c>
      <c r="AB153" s="24">
        <f>IF(Z153="",0,IF(EXACT(RIGHT(Z153,5),"dB(A)"),IF(ABS(VALUE(LEFT(Z153,FIND(" ",Z153,1)))-AA153)&lt;=0.2,1,-1),-1))</f>
        <v>0</v>
      </c>
      <c r="AC153" s="44" t="s">
        <v>379</v>
      </c>
      <c r="AD153" s="26">
        <f>10*LOG10((10^((60+L153)/10)*(1+J153)+10^((65+K153)/10)*(2+I153/3))/(1+J153+2+I153/3))</f>
        <v>70.62862038479399</v>
      </c>
      <c r="AE153" s="24">
        <f>IF(AC153="",0,IF(EXACT(RIGHT(AC153,5),"dB(A)"),IF(ABS(VALUE(LEFT(AC153,FIND(" ",AC153,1)))-AD153)&lt;=0.5,1,-1),-1))</f>
        <v>-1</v>
      </c>
      <c r="AF153" s="43"/>
      <c r="AG153" s="26">
        <f>90+K153+10*LOG10(4/(0.16*(300+J153*20)/(1+L153/10)))+3</f>
        <v>90.942476711109094</v>
      </c>
      <c r="AH153" s="24">
        <f>IF(AF153="",0,IF(EXACT(RIGHT(AF153,2),"dB"),IF(ABS(VALUE(LEFT(AF153,FIND(" ",AF153,1)))-AG153)&lt;=0.5,1,-1),-1))</f>
        <v>0</v>
      </c>
      <c r="AI153" s="12" t="s">
        <v>380</v>
      </c>
      <c r="AJ153" s="26">
        <f>10*LOG10(3+40*(2*SQRT(((10+K153)/2)^2+(3+L153/10)^2)-(10+K153))*100*(1+J153)/340)</f>
        <v>19.044316438215702</v>
      </c>
      <c r="AK153" s="24">
        <f>IF(AI153="",0,IF(EXACT(RIGHT(AI153,2),"dB"),IF(ABS(VALUE(LEFT(AI153,FIND(" ",AI153,1)))-AJ153)&lt;=0.5,1,-1),-1))</f>
        <v>-1</v>
      </c>
      <c r="AL153" s="44">
        <v>-3</v>
      </c>
      <c r="AM153" s="26">
        <f>80+L153-(80+K153)</f>
        <v>-3</v>
      </c>
      <c r="AN153" s="24">
        <f>IF(AL153="",0,IF(EXACT(RIGHT(AL153,2),"dB"),IF(ABS(VALUE(LEFT(AL153,FIND(" ",AL153,1)))-AM153)&lt;=0.5,1,-1),-1))</f>
        <v>-1</v>
      </c>
      <c r="AO153" s="43"/>
      <c r="AP153" s="30">
        <f>((2^(5+L153))/2+1)/48</f>
        <v>10.6875</v>
      </c>
      <c r="AQ153" s="24">
        <f>IF(AO153="",0,IF(EXACT(RIGHT(AO153,2),"ms"),IF(ABS(VALUE(LEFT(AO153,FIND(" ",AO153,1)))-AP153)/AP153&lt;=0.02,1,-1),-1))</f>
        <v>0</v>
      </c>
      <c r="AR153" s="39">
        <f>M153+P153+S153+V153+Y153+AB153+AE153+AH153+AK153+AN153+AQ153</f>
        <v>-1</v>
      </c>
    </row>
    <row r="154" spans="1:44" ht="13.2">
      <c r="A154" s="41">
        <v>152</v>
      </c>
      <c r="B154" s="42">
        <v>41992.768288449071</v>
      </c>
      <c r="C154" s="12" t="s">
        <v>1306</v>
      </c>
      <c r="D154" s="12" t="s">
        <v>1307</v>
      </c>
      <c r="E154" s="12">
        <v>240525</v>
      </c>
      <c r="F154" s="23">
        <v>1</v>
      </c>
      <c r="G154" s="23">
        <f>INT(E154/100000)</f>
        <v>2</v>
      </c>
      <c r="H154" s="23">
        <f>INT(($E154-100000*G154)/10000)</f>
        <v>4</v>
      </c>
      <c r="I154" s="23">
        <f>INT(($E154-100000*G154-10000*H154)/1000)</f>
        <v>0</v>
      </c>
      <c r="J154" s="23">
        <f>INT(($E154-100000*$G154-10000*$H154-1000*$I154)/100)</f>
        <v>5</v>
      </c>
      <c r="K154" s="23">
        <f>INT(($E154-100000*$G154-10000*$H154-1000*$I154-100*$J154)/10)</f>
        <v>2</v>
      </c>
      <c r="L154" s="23">
        <f>INT(($E154-100000*$G154-10000*$H154-1000*$I154-100*$J154-10*$K154))</f>
        <v>5</v>
      </c>
      <c r="M154" s="24">
        <v>2</v>
      </c>
      <c r="N154" s="12" t="s">
        <v>1308</v>
      </c>
      <c r="O154" s="26">
        <f>65+K154+10*LOG10(70+L154)+10*LOG10(100/(100+J154*20))</f>
        <v>82.740312677277188</v>
      </c>
      <c r="P154" s="24">
        <f>IF(N154="",0,IF(EXACT(RIGHT(N154,5),"dB(A)"),IF(ABS(VALUE(LEFT(N154,FIND(" ",N154,1)))-O154)&lt;=0.5,1,-1),-1))</f>
        <v>1</v>
      </c>
      <c r="Q154" s="12" t="s">
        <v>1309</v>
      </c>
      <c r="R154" s="26">
        <f>10*LOG10(10^((80+G154)/10)*(10+L154)*1000/16/3600+10^((85+H154)/10)*(10+K154)*3000/16/3600+10^((90+J154)/10)*(10+J154)*100/16/3600)</f>
        <v>87.924472950047559</v>
      </c>
      <c r="S154" s="24">
        <f>IF(Q154="",0,IF(EXACT(RIGHT(Q154,5),"dB(A)"),IF(ABS(VALUE(LEFT(Q154,FIND(" ",Q154,1)))-R154)&lt;=0.5,1,-1),-1))</f>
        <v>1</v>
      </c>
      <c r="T154" s="12" t="s">
        <v>1310</v>
      </c>
      <c r="U154" s="30">
        <f>4*(500+K154*10+L154)/(400+J154*10)/340*SQRT(8192/4/0.1)</f>
        <v>1.9642322625880508</v>
      </c>
      <c r="V154" s="24">
        <f>IF(T154="",0,IF(EXACT(RIGHT(T154,2)," s"),IF(ABS(VALUE(LEFT(T154,FIND(" ",T154,1)))-U154)&lt;=0.005,1,-1),-1))</f>
        <v>-1</v>
      </c>
      <c r="W154" s="12">
        <v>32768</v>
      </c>
      <c r="X154" s="36">
        <f>8*2^(5+L154)</f>
        <v>8192</v>
      </c>
      <c r="Y154" s="24">
        <f>IF(W154="",0,IF(ABS(W154-X154)&lt;=1,1,-1))</f>
        <v>-1</v>
      </c>
      <c r="Z154" s="43"/>
      <c r="AA154" s="26">
        <f>10*LOG10(10^((60+L154-39.4)/10)+10^((63+L154-26.2)/10)+10^((66+L154-16.1)/10)+10^((69+L154-8.6)/10)+10^((72+L154-3.2)/10)+10^((75+L154)/10)+10^((78+L154+1.2)/10)+10^((81+L154+1)/10)+10^((84+L154-1.1)/10)+10^((87+L154-6.6)/10))</f>
        <v>92.684202566927439</v>
      </c>
      <c r="AB154" s="24">
        <f>IF(Z154="",0,IF(EXACT(RIGHT(Z154,5),"dB(A)"),IF(ABS(VALUE(LEFT(Z154,FIND(" ",Z154,1)))-AA154)&lt;=0.2,1,-1),-1))</f>
        <v>0</v>
      </c>
      <c r="AC154" s="12" t="s">
        <v>1311</v>
      </c>
      <c r="AD154" s="26">
        <f>10*LOG10((10^((60+L154)/10)*(1+J154)+10^((65+K154)/10)*(2+I154/3))/(1+J154+2+I154/3))</f>
        <v>65.592692316737043</v>
      </c>
      <c r="AE154" s="24">
        <f>IF(AC154="",0,IF(EXACT(RIGHT(AC154,5),"dB(A)"),IF(ABS(VALUE(LEFT(AC154,FIND(" ",AC154,1)))-AD154)&lt;=0.5,1,-1),-1))</f>
        <v>-1</v>
      </c>
      <c r="AF154" s="12" t="s">
        <v>1312</v>
      </c>
      <c r="AG154" s="26">
        <f>90+K154+10*LOG10(4/(0.16*(300+J154*20)/(1+L154/10)))+3</f>
        <v>84.719712763997563</v>
      </c>
      <c r="AH154" s="24">
        <f>IF(AF154="",0,IF(EXACT(RIGHT(AF154,2),"dB"),IF(ABS(VALUE(LEFT(AF154,FIND(" ",AF154,1)))-AG154)&lt;=0.5,1,-1),-1))</f>
        <v>-1</v>
      </c>
      <c r="AI154" s="12" t="s">
        <v>1313</v>
      </c>
      <c r="AJ154" s="26">
        <f>10*LOG10(3+40*(2*SQRT(((10+K154)/2)^2+(3+L154/10)^2)-(10+K154))*100*(1+J154)/340)</f>
        <v>21.354007227452414</v>
      </c>
      <c r="AK154" s="24">
        <f>IF(AI154="",0,IF(EXACT(RIGHT(AI154,2),"dB"),IF(ABS(VALUE(LEFT(AI154,FIND(" ",AI154,1)))-AJ154)&lt;=0.5,1,-1),-1))</f>
        <v>1</v>
      </c>
      <c r="AL154" s="12" t="s">
        <v>1314</v>
      </c>
      <c r="AM154" s="26">
        <f>80+L154-(80+K154)</f>
        <v>3</v>
      </c>
      <c r="AN154" s="24">
        <f>IF(AL154="",0,IF(EXACT(RIGHT(AL154,2),"dB"),IF(ABS(VALUE(LEFT(AL154,FIND(" ",AL154,1)))-AM154)&lt;=0.5,1,-1),-1))</f>
        <v>-1</v>
      </c>
      <c r="AO154" s="12" t="s">
        <v>1315</v>
      </c>
      <c r="AP154" s="30">
        <f>((2^(5+L154))/2+1)/48</f>
        <v>10.6875</v>
      </c>
      <c r="AQ154" s="24">
        <f>IF(AO154="",0,IF(EXACT(RIGHT(AO154,2),"ms"),IF(ABS(VALUE(LEFT(AO154,FIND(" ",AO154,1)))-AP154)/AP154&lt;=0.02,1,-1),-1))</f>
        <v>-1</v>
      </c>
      <c r="AR154" s="39">
        <f>M154+P154+S154+V154+Y154+AB154+AE154+AH154+AK154+AN154+AQ154</f>
        <v>-1</v>
      </c>
    </row>
    <row r="155" spans="1:44" ht="15.75" customHeight="1" thickBot="1">
      <c r="A155" s="50">
        <v>153</v>
      </c>
      <c r="B155" s="51">
        <v>41992.764227951389</v>
      </c>
      <c r="C155" s="52" t="s">
        <v>614</v>
      </c>
      <c r="D155" s="52" t="s">
        <v>615</v>
      </c>
      <c r="E155" s="52">
        <v>239653</v>
      </c>
      <c r="F155" s="53">
        <v>1</v>
      </c>
      <c r="G155" s="53">
        <f>INT(E155/100000)</f>
        <v>2</v>
      </c>
      <c r="H155" s="53">
        <f>INT(($E155-100000*G155)/10000)</f>
        <v>3</v>
      </c>
      <c r="I155" s="53">
        <f>INT(($E155-100000*G155-10000*H155)/1000)</f>
        <v>9</v>
      </c>
      <c r="J155" s="53">
        <f>INT(($E155-100000*$G155-10000*$H155-1000*$I155)/100)</f>
        <v>6</v>
      </c>
      <c r="K155" s="53">
        <f>INT(($E155-100000*$G155-10000*$H155-1000*$I155-100*$J155)/10)</f>
        <v>5</v>
      </c>
      <c r="L155" s="53">
        <f>INT(($E155-100000*$G155-10000*$H155-1000*$I155-100*$J155-10*$K155))</f>
        <v>3</v>
      </c>
      <c r="M155" s="54">
        <v>2</v>
      </c>
      <c r="N155" s="55" t="s">
        <v>616</v>
      </c>
      <c r="O155" s="56">
        <f>65+K155+10*LOG10(70+L155)+10*LOG10(100/(100+J155*20))</f>
        <v>85.209001792982505</v>
      </c>
      <c r="P155" s="24">
        <f>IF(N155="",0,IF(EXACT(RIGHT(N155,5),"dB(A)"),IF(ABS(VALUE(LEFT(N155,FIND(" ",N155,1)))-O155)&lt;=0.5,1,-1),-1))</f>
        <v>-1</v>
      </c>
      <c r="Q155" s="55" t="s">
        <v>617</v>
      </c>
      <c r="R155" s="56">
        <f>10*LOG10(10^((80+G155)/10)*(10+L155)*1000/16/3600+10^((85+H155)/10)*(10+K155)*3000/16/3600+10^((90+J155)/10)*(10+J155)*100/16/3600)</f>
        <v>88.056985288803901</v>
      </c>
      <c r="S155" s="24">
        <f>IF(Q155="",0,IF(EXACT(RIGHT(Q155,5),"dB(A)"),IF(ABS(VALUE(LEFT(Q155,FIND(" ",Q155,1)))-R155)&lt;=0.5,1,-1),-1))</f>
        <v>-1</v>
      </c>
      <c r="T155" s="52" t="s">
        <v>618</v>
      </c>
      <c r="U155" s="57">
        <f>4*(500+K155*10+L155)/(400+J155*10)/340*SQRT(8192/4/0.1)</f>
        <v>2.0240132444929047</v>
      </c>
      <c r="V155" s="24">
        <f>IF(T155="",0,IF(EXACT(RIGHT(T155,2)," s"),IF(ABS(VALUE(LEFT(T155,FIND(" ",T155,1)))-U155)&lt;=0.005,1,-1),-1))</f>
        <v>-1</v>
      </c>
      <c r="W155" s="52">
        <v>8192</v>
      </c>
      <c r="X155" s="58">
        <f>8*2^(5+L155)</f>
        <v>2048</v>
      </c>
      <c r="Y155" s="24">
        <f>IF(W155="",0,IF(ABS(W155-X155)&lt;=1,1,-1))</f>
        <v>-1</v>
      </c>
      <c r="Z155" s="55" t="s">
        <v>619</v>
      </c>
      <c r="AA155" s="56">
        <f>10*LOG10(10^((60+L155-39.4)/10)+10^((63+L155-26.2)/10)+10^((66+L155-16.1)/10)+10^((69+L155-8.6)/10)+10^((72+L155-3.2)/10)+10^((75+L155)/10)+10^((78+L155+1.2)/10)+10^((81+L155+1)/10)+10^((84+L155-1.1)/10)+10^((87+L155-6.6)/10))</f>
        <v>90.684202566927453</v>
      </c>
      <c r="AB155" s="24">
        <f>IF(Z155="",0,IF(EXACT(RIGHT(Z155,5),"dB(A)"),IF(ABS(VALUE(LEFT(Z155,FIND(" ",Z155,1)))-AA155)&lt;=0.2,1,-1),-1))</f>
        <v>-1</v>
      </c>
      <c r="AC155" s="55" t="s">
        <v>620</v>
      </c>
      <c r="AD155" s="56">
        <f>10*LOG10((10^((60+L155)/10)*(1+J155)+10^((65+K155)/10)*(2+I155/3))/(1+J155+2+I155/3))</f>
        <v>67.267736250266069</v>
      </c>
      <c r="AE155" s="24">
        <f>IF(AC155="",0,IF(EXACT(RIGHT(AC155,5),"dB(A)"),IF(ABS(VALUE(LEFT(AC155,FIND(" ",AC155,1)))-AD155)&lt;=0.5,1,-1),-1))</f>
        <v>-1</v>
      </c>
      <c r="AF155" s="55" t="s">
        <v>621</v>
      </c>
      <c r="AG155" s="56">
        <f>90+K155+10*LOG10(4/(0.16*(300+J155*20)/(1+L155/10)))+3</f>
        <v>86.886340705809744</v>
      </c>
      <c r="AH155" s="24">
        <f>IF(AF155="",0,IF(EXACT(RIGHT(AF155,2),"dB"),IF(ABS(VALUE(LEFT(AF155,FIND(" ",AF155,1)))-AG155)&lt;=0.5,1,-1),-1))</f>
        <v>-1</v>
      </c>
      <c r="AI155" s="59">
        <v>22.67</v>
      </c>
      <c r="AJ155" s="56">
        <f>10*LOG10(3+40*(2*SQRT(((10+K155)/2)^2+(3+L155/10)^2)-(10+K155))*100*(1+J155)/340)</f>
        <v>20.692589120252585</v>
      </c>
      <c r="AK155" s="24">
        <f>IF(AI155="",0,IF(EXACT(RIGHT(AI155,2),"dB"),IF(ABS(VALUE(LEFT(AI155,FIND(" ",AI155,1)))-AJ155)&lt;=0.5,1,-1),-1))</f>
        <v>-1</v>
      </c>
      <c r="AL155" s="59">
        <v>4</v>
      </c>
      <c r="AM155" s="56">
        <f>80+L155-(80+K155)</f>
        <v>-2</v>
      </c>
      <c r="AN155" s="24">
        <f>IF(AL155="",0,IF(EXACT(RIGHT(AL155,2),"dB"),IF(ABS(VALUE(LEFT(AL155,FIND(" ",AL155,1)))-AM155)&lt;=0.5,1,-1),-1))</f>
        <v>-1</v>
      </c>
      <c r="AO155" s="52" t="s">
        <v>622</v>
      </c>
      <c r="AP155" s="57">
        <f>((2^(5+L155))/2+1)/48</f>
        <v>2.6875</v>
      </c>
      <c r="AQ155" s="24">
        <f>IF(AO155="",0,IF(EXACT(RIGHT(AO155,2),"ms"),IF(ABS(VALUE(LEFT(AO155,FIND(" ",AO155,1)))-AP155)/AP155&lt;=0.02,1,-1),-1))</f>
        <v>-1</v>
      </c>
      <c r="AR155" s="60">
        <f>M155+P155+S155+V155+Y155+AB155+AE155+AH155+AK155+AN155+AQ155</f>
        <v>-8</v>
      </c>
    </row>
    <row r="157" spans="1:44" ht="15.75" customHeight="1">
      <c r="A157" s="4" t="s">
        <v>1547</v>
      </c>
      <c r="B157" s="4"/>
      <c r="C157" s="5"/>
      <c r="D157" s="5"/>
      <c r="E157" s="4" t="s">
        <v>1548</v>
      </c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5"/>
      <c r="R157" s="5"/>
      <c r="S157" s="5"/>
      <c r="T157" s="5"/>
      <c r="U157" s="31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44" ht="15.75" customHeight="1">
      <c r="A158" s="6" t="s">
        <v>1549</v>
      </c>
      <c r="B158" s="7"/>
      <c r="C158" s="7"/>
      <c r="D158" s="7"/>
      <c r="E158" s="6" t="s">
        <v>1630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32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44" ht="15.75" customHeight="1">
      <c r="A159" s="8" t="s">
        <v>1551</v>
      </c>
      <c r="B159" s="8"/>
      <c r="C159" s="8"/>
      <c r="D159" s="8"/>
      <c r="E159" s="8" t="s">
        <v>1550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33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44" ht="15.75" customHeight="1">
      <c r="A160" s="9" t="s">
        <v>1624</v>
      </c>
      <c r="B160" s="10"/>
      <c r="C160" s="10"/>
      <c r="D160" s="10"/>
      <c r="E160" s="10" t="s">
        <v>1550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34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:31" ht="15.75" customHeight="1">
      <c r="A161" s="11" t="s">
        <v>1552</v>
      </c>
      <c r="B161" s="11"/>
      <c r="C161" s="11"/>
      <c r="D161" s="11"/>
      <c r="E161" s="11" t="s">
        <v>1553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35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</sheetData>
  <sortState ref="B3:AR155">
    <sortCondition descending="1" ref="AR3:AR155"/>
  </sortState>
  <conditionalFormatting sqref="P3">
    <cfRule type="cellIs" dxfId="61" priority="25" operator="lessThan">
      <formula>0</formula>
    </cfRule>
  </conditionalFormatting>
  <conditionalFormatting sqref="P3:P155">
    <cfRule type="cellIs" dxfId="60" priority="24" operator="lessThan">
      <formula>0</formula>
    </cfRule>
  </conditionalFormatting>
  <conditionalFormatting sqref="S3:S155">
    <cfRule type="cellIs" dxfId="59" priority="23" operator="lessThan">
      <formula>0</formula>
    </cfRule>
  </conditionalFormatting>
  <conditionalFormatting sqref="S3:S155">
    <cfRule type="cellIs" dxfId="58" priority="22" operator="lessThan">
      <formula>0</formula>
    </cfRule>
  </conditionalFormatting>
  <conditionalFormatting sqref="V3:V155">
    <cfRule type="cellIs" dxfId="57" priority="21" operator="lessThan">
      <formula>0</formula>
    </cfRule>
  </conditionalFormatting>
  <conditionalFormatting sqref="V3:V155">
    <cfRule type="cellIs" dxfId="56" priority="20" operator="lessThan">
      <formula>0</formula>
    </cfRule>
  </conditionalFormatting>
  <conditionalFormatting sqref="Y3:Y155">
    <cfRule type="cellIs" dxfId="55" priority="19" operator="lessThan">
      <formula>0</formula>
    </cfRule>
  </conditionalFormatting>
  <conditionalFormatting sqref="Y3:Y155">
    <cfRule type="cellIs" dxfId="54" priority="18" operator="lessThan">
      <formula>0</formula>
    </cfRule>
  </conditionalFormatting>
  <conditionalFormatting sqref="AB3:AB155">
    <cfRule type="cellIs" dxfId="53" priority="17" operator="lessThan">
      <formula>0</formula>
    </cfRule>
  </conditionalFormatting>
  <conditionalFormatting sqref="AB3:AB155">
    <cfRule type="cellIs" dxfId="52" priority="16" operator="lessThan">
      <formula>0</formula>
    </cfRule>
  </conditionalFormatting>
  <conditionalFormatting sqref="AE3:AE155">
    <cfRule type="cellIs" dxfId="51" priority="15" operator="lessThan">
      <formula>0</formula>
    </cfRule>
  </conditionalFormatting>
  <conditionalFormatting sqref="AE3:AE155">
    <cfRule type="cellIs" dxfId="50" priority="14" operator="lessThan">
      <formula>0</formula>
    </cfRule>
  </conditionalFormatting>
  <conditionalFormatting sqref="AH3:AH155">
    <cfRule type="cellIs" dxfId="49" priority="13" operator="lessThan">
      <formula>0</formula>
    </cfRule>
  </conditionalFormatting>
  <conditionalFormatting sqref="AH3:AH155">
    <cfRule type="cellIs" dxfId="48" priority="12" operator="lessThan">
      <formula>0</formula>
    </cfRule>
  </conditionalFormatting>
  <conditionalFormatting sqref="AF81:AF155">
    <cfRule type="containsText" dxfId="47" priority="11" operator="containsText" text="dB(A)">
      <formula>NOT(ISERROR(SEARCH("dB(A)",AF81)))</formula>
    </cfRule>
  </conditionalFormatting>
  <conditionalFormatting sqref="AK3:AK155">
    <cfRule type="cellIs" dxfId="46" priority="10" operator="lessThan">
      <formula>0</formula>
    </cfRule>
  </conditionalFormatting>
  <conditionalFormatting sqref="AK3:AK155">
    <cfRule type="cellIs" dxfId="45" priority="9" operator="lessThan">
      <formula>0</formula>
    </cfRule>
  </conditionalFormatting>
  <conditionalFormatting sqref="AN3">
    <cfRule type="cellIs" dxfId="44" priority="8" operator="lessThan">
      <formula>0</formula>
    </cfRule>
  </conditionalFormatting>
  <conditionalFormatting sqref="AN3">
    <cfRule type="cellIs" dxfId="43" priority="7" operator="lessThan">
      <formula>0</formula>
    </cfRule>
  </conditionalFormatting>
  <conditionalFormatting sqref="AN4:AN155">
    <cfRule type="cellIs" dxfId="42" priority="6" operator="lessThan">
      <formula>0</formula>
    </cfRule>
  </conditionalFormatting>
  <conditionalFormatting sqref="AN4:AN155">
    <cfRule type="cellIs" dxfId="41" priority="5" operator="lessThan">
      <formula>0</formula>
    </cfRule>
  </conditionalFormatting>
  <conditionalFormatting sqref="AQ3:AQ155">
    <cfRule type="cellIs" dxfId="40" priority="4" operator="lessThan">
      <formula>0</formula>
    </cfRule>
  </conditionalFormatting>
  <conditionalFormatting sqref="AQ3:AQ155">
    <cfRule type="cellIs" dxfId="39" priority="3" operator="lessThan">
      <formula>0</formula>
    </cfRule>
  </conditionalFormatting>
  <conditionalFormatting sqref="AR3:AR155">
    <cfRule type="cellIs" dxfId="38" priority="2" operator="greaterThan">
      <formula>5.5</formula>
    </cfRule>
  </conditionalFormatting>
  <conditionalFormatting sqref="P4:P155">
    <cfRule type="cellIs" dxfId="1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opLeftCell="A13" workbookViewId="0">
      <selection activeCell="B47" sqref="B47"/>
    </sheetView>
  </sheetViews>
  <sheetFormatPr defaultRowHeight="13.2"/>
  <sheetData>
    <row r="1" spans="1:12">
      <c r="A1" s="13" t="s">
        <v>1554</v>
      </c>
      <c r="B1" s="14"/>
      <c r="C1" s="14"/>
      <c r="D1" s="14"/>
      <c r="E1" s="13" t="s">
        <v>1562</v>
      </c>
      <c r="F1" s="14"/>
    </row>
    <row r="2" spans="1:12">
      <c r="A2" s="5"/>
      <c r="E2" s="5" t="s">
        <v>1555</v>
      </c>
      <c r="G2" s="15" t="s">
        <v>1556</v>
      </c>
      <c r="H2" s="15" t="s">
        <v>1557</v>
      </c>
      <c r="I2" s="15" t="s">
        <v>1558</v>
      </c>
      <c r="J2" s="15" t="s">
        <v>1559</v>
      </c>
      <c r="K2" s="15" t="s">
        <v>1560</v>
      </c>
      <c r="L2" s="15" t="s">
        <v>1561</v>
      </c>
    </row>
    <row r="3" spans="1:12">
      <c r="A3" s="5"/>
      <c r="G3" s="16">
        <v>1</v>
      </c>
      <c r="H3" s="16">
        <v>2</v>
      </c>
      <c r="I3" s="16">
        <v>3</v>
      </c>
      <c r="J3" s="16">
        <v>4</v>
      </c>
      <c r="K3" s="16">
        <v>5</v>
      </c>
      <c r="L3" s="16">
        <v>6</v>
      </c>
    </row>
    <row r="4" spans="1:12">
      <c r="A4" s="5"/>
    </row>
    <row r="5" spans="1:12" ht="14.4">
      <c r="A5" s="17" t="s">
        <v>4</v>
      </c>
    </row>
    <row r="6" spans="1:12" ht="13.8">
      <c r="A6" s="18" t="s">
        <v>1566</v>
      </c>
      <c r="B6">
        <f>70+L3</f>
        <v>76</v>
      </c>
      <c r="C6" s="1" t="s">
        <v>1567</v>
      </c>
      <c r="D6" s="1" t="s">
        <v>1570</v>
      </c>
      <c r="E6">
        <f>100+J3*20</f>
        <v>180</v>
      </c>
      <c r="F6" s="1" t="s">
        <v>1571</v>
      </c>
    </row>
    <row r="7" spans="1:12" ht="13.8">
      <c r="A7" s="18" t="s">
        <v>1568</v>
      </c>
      <c r="B7">
        <f>65+K3</f>
        <v>70</v>
      </c>
      <c r="C7" s="1" t="s">
        <v>1569</v>
      </c>
      <c r="D7" s="20" t="s">
        <v>1572</v>
      </c>
      <c r="E7" s="20">
        <f>65+K3+10*LOG10(70+L3)+10*LOG10(100/(100+J3*20))</f>
        <v>86.255410871774842</v>
      </c>
      <c r="F7" s="20" t="s">
        <v>1569</v>
      </c>
    </row>
    <row r="8" spans="1:12" ht="14.4">
      <c r="A8" s="17" t="s">
        <v>1563</v>
      </c>
    </row>
    <row r="9" spans="1:12" ht="14.4">
      <c r="A9" s="17" t="s">
        <v>1564</v>
      </c>
    </row>
    <row r="10" spans="1:12" ht="13.8">
      <c r="A10" s="18" t="s">
        <v>1573</v>
      </c>
      <c r="B10">
        <f>(10+L3)*1000</f>
        <v>16000</v>
      </c>
      <c r="C10" s="1" t="s">
        <v>1574</v>
      </c>
      <c r="D10">
        <f>(10+K3)*3000</f>
        <v>45000</v>
      </c>
      <c r="E10" s="1" t="s">
        <v>1575</v>
      </c>
      <c r="F10">
        <f>(10+J3)*100</f>
        <v>1400</v>
      </c>
      <c r="H10" s="20" t="s">
        <v>1568</v>
      </c>
      <c r="I10" s="20">
        <f>10*LOG10(10^((80+G3)/10)*(10+L3)*1000/16/3600+10^((85+H3)/10)*(10+K3)*3000/16/3600+10^((90+J3)/10)*(10+J3)*100/16/3600)</f>
        <v>86.880418496825129</v>
      </c>
      <c r="J10" s="20" t="s">
        <v>1569</v>
      </c>
    </row>
    <row r="11" spans="1:12" ht="13.8">
      <c r="A11" s="18" t="s">
        <v>1576</v>
      </c>
      <c r="B11">
        <f>80+G3</f>
        <v>81</v>
      </c>
      <c r="C11" s="1" t="s">
        <v>1577</v>
      </c>
      <c r="D11">
        <f>85+H3</f>
        <v>87</v>
      </c>
      <c r="E11" s="1" t="s">
        <v>1578</v>
      </c>
      <c r="F11">
        <f>90+J3</f>
        <v>94</v>
      </c>
    </row>
    <row r="12" spans="1:12" ht="21">
      <c r="A12" s="19"/>
    </row>
    <row r="13" spans="1:12" ht="14.4">
      <c r="A13" s="17" t="s">
        <v>6</v>
      </c>
    </row>
    <row r="14" spans="1:12" ht="13.8">
      <c r="A14" s="18" t="s">
        <v>1579</v>
      </c>
      <c r="B14">
        <f>500+K3*10+L3</f>
        <v>556</v>
      </c>
      <c r="C14" s="1" t="s">
        <v>1580</v>
      </c>
      <c r="D14" s="1" t="s">
        <v>1587</v>
      </c>
      <c r="E14">
        <v>8192</v>
      </c>
      <c r="F14" s="1" t="s">
        <v>1585</v>
      </c>
      <c r="G14">
        <f>4*(500+K3*10+L3)/(400+J3*10)</f>
        <v>5.0545454545454547</v>
      </c>
      <c r="H14" s="1" t="s">
        <v>1571</v>
      </c>
    </row>
    <row r="15" spans="1:12" ht="13.8">
      <c r="A15" s="18" t="s">
        <v>1581</v>
      </c>
      <c r="B15">
        <f>400+J3*10</f>
        <v>440</v>
      </c>
      <c r="C15" s="1" t="s">
        <v>1582</v>
      </c>
      <c r="D15" s="1" t="s">
        <v>1584</v>
      </c>
      <c r="E15">
        <v>0.1</v>
      </c>
      <c r="F15" s="20" t="s">
        <v>1586</v>
      </c>
      <c r="G15" s="20">
        <f>4*(500+K3*10+L3)/(400+J3*10)/340*SQRT(8192/4/0.1)</f>
        <v>2.1274931259719922</v>
      </c>
      <c r="H15" s="20" t="s">
        <v>1567</v>
      </c>
    </row>
    <row r="16" spans="1:12" ht="21">
      <c r="A16" s="19"/>
    </row>
    <row r="17" spans="1:14" ht="14.4">
      <c r="A17" s="17" t="s">
        <v>7</v>
      </c>
    </row>
    <row r="18" spans="1:14" ht="13.8">
      <c r="A18" s="18" t="s">
        <v>1583</v>
      </c>
      <c r="B18">
        <f>5+L3</f>
        <v>11</v>
      </c>
      <c r="D18" s="20" t="s">
        <v>1587</v>
      </c>
      <c r="E18" s="20">
        <f>8*2^(5+L3)</f>
        <v>16384</v>
      </c>
    </row>
    <row r="19" spans="1:14" ht="13.8">
      <c r="A19" s="18"/>
    </row>
    <row r="20" spans="1:14" ht="21">
      <c r="A20" s="19"/>
    </row>
    <row r="21" spans="1:14" ht="14.4">
      <c r="A21" s="17" t="s">
        <v>8</v>
      </c>
    </row>
    <row r="22" spans="1:14" ht="13.8">
      <c r="A22" s="18" t="s">
        <v>1594</v>
      </c>
      <c r="B22">
        <v>31.5</v>
      </c>
      <c r="C22">
        <v>63</v>
      </c>
      <c r="D22">
        <v>125</v>
      </c>
      <c r="E22">
        <v>250</v>
      </c>
      <c r="F22">
        <v>500</v>
      </c>
      <c r="G22" s="1" t="s">
        <v>1589</v>
      </c>
      <c r="H22" s="1" t="s">
        <v>1590</v>
      </c>
      <c r="I22" s="1" t="s">
        <v>1591</v>
      </c>
      <c r="J22" s="1" t="s">
        <v>1592</v>
      </c>
      <c r="K22" s="1" t="s">
        <v>1593</v>
      </c>
    </row>
    <row r="23" spans="1:14" ht="13.8">
      <c r="A23" s="18" t="s">
        <v>1588</v>
      </c>
      <c r="B23">
        <f>60+L3</f>
        <v>66</v>
      </c>
      <c r="C23">
        <f>B23+3</f>
        <v>69</v>
      </c>
      <c r="D23">
        <f t="shared" ref="D23:K23" si="0">C23+3</f>
        <v>72</v>
      </c>
      <c r="E23">
        <f t="shared" si="0"/>
        <v>75</v>
      </c>
      <c r="F23">
        <f t="shared" si="0"/>
        <v>78</v>
      </c>
      <c r="G23">
        <f t="shared" si="0"/>
        <v>81</v>
      </c>
      <c r="H23">
        <f t="shared" si="0"/>
        <v>84</v>
      </c>
      <c r="I23">
        <f t="shared" si="0"/>
        <v>87</v>
      </c>
      <c r="J23">
        <f t="shared" si="0"/>
        <v>90</v>
      </c>
      <c r="K23">
        <f t="shared" si="0"/>
        <v>93</v>
      </c>
      <c r="L23" s="20" t="s">
        <v>1597</v>
      </c>
      <c r="M23" s="20">
        <f>10*LOG10(10^((60+L3-39.4)/10)+10^((63+L3-26.2)/10)+10^((66+L3-16.1)/10)+10^((69+L3-8.6)/10)+10^((72+L3-3.2)/10)+10^((75+L3)/10)+10^((78+L3+1.2)/10)+10^((81+L3+1)/10)+10^((84+L3-1.1)/10)+10^((87+L3-6.6)/10))</f>
        <v>93.684202566927453</v>
      </c>
      <c r="N23" s="20" t="s">
        <v>1569</v>
      </c>
    </row>
    <row r="24" spans="1:14" ht="13.8">
      <c r="A24" s="18" t="s">
        <v>1595</v>
      </c>
      <c r="B24">
        <v>-39.4</v>
      </c>
      <c r="C24">
        <v>-26.2</v>
      </c>
      <c r="D24">
        <v>-16.100000000000001</v>
      </c>
      <c r="E24">
        <v>-8.6</v>
      </c>
      <c r="F24">
        <v>-3.2</v>
      </c>
      <c r="G24">
        <v>0</v>
      </c>
      <c r="H24">
        <v>1.2</v>
      </c>
      <c r="I24">
        <v>1</v>
      </c>
      <c r="J24">
        <v>-1.1000000000000001</v>
      </c>
      <c r="K24">
        <v>-6.6</v>
      </c>
    </row>
    <row r="25" spans="1:14" ht="13.8">
      <c r="A25" s="18" t="s">
        <v>1596</v>
      </c>
      <c r="B25">
        <f>B23+B24</f>
        <v>26.6</v>
      </c>
      <c r="C25">
        <f t="shared" ref="C25:K25" si="1">C23+C24</f>
        <v>42.8</v>
      </c>
      <c r="D25">
        <f t="shared" si="1"/>
        <v>55.9</v>
      </c>
      <c r="E25">
        <f t="shared" si="1"/>
        <v>66.400000000000006</v>
      </c>
      <c r="F25">
        <f t="shared" si="1"/>
        <v>74.8</v>
      </c>
      <c r="G25">
        <f t="shared" si="1"/>
        <v>81</v>
      </c>
      <c r="H25">
        <f t="shared" si="1"/>
        <v>85.2</v>
      </c>
      <c r="I25">
        <f t="shared" si="1"/>
        <v>88</v>
      </c>
      <c r="J25">
        <f t="shared" si="1"/>
        <v>88.9</v>
      </c>
      <c r="K25">
        <f t="shared" si="1"/>
        <v>86.4</v>
      </c>
      <c r="L25" s="1" t="s">
        <v>1597</v>
      </c>
      <c r="M25" s="1">
        <f>10*LOG10(SUM(B26:K26))</f>
        <v>93.684202566927453</v>
      </c>
      <c r="N25" s="1" t="s">
        <v>1569</v>
      </c>
    </row>
    <row r="26" spans="1:14" ht="13.8">
      <c r="A26" s="18" t="s">
        <v>1599</v>
      </c>
      <c r="B26">
        <f>10^(B25/10)</f>
        <v>457.0881896148756</v>
      </c>
      <c r="C26">
        <f t="shared" ref="C26:K26" si="2">10^(C25/10)</f>
        <v>19054.607179632472</v>
      </c>
      <c r="D26">
        <f t="shared" si="2"/>
        <v>389045.14499428123</v>
      </c>
      <c r="E26">
        <f t="shared" si="2"/>
        <v>4365158.3224016698</v>
      </c>
      <c r="F26">
        <f t="shared" si="2"/>
        <v>30199517.20402015</v>
      </c>
      <c r="G26">
        <f t="shared" si="2"/>
        <v>125892541.17941682</v>
      </c>
      <c r="H26">
        <f t="shared" si="2"/>
        <v>331131121.48259121</v>
      </c>
      <c r="I26">
        <f t="shared" si="2"/>
        <v>630957344.48019624</v>
      </c>
      <c r="J26">
        <f t="shared" si="2"/>
        <v>776247116.62869477</v>
      </c>
      <c r="K26">
        <f t="shared" si="2"/>
        <v>436515832.24016714</v>
      </c>
    </row>
    <row r="27" spans="1:14" ht="13.8">
      <c r="A27" s="18"/>
    </row>
    <row r="28" spans="1:14" ht="14.4">
      <c r="A28" s="17" t="s">
        <v>9</v>
      </c>
    </row>
    <row r="29" spans="1:14" ht="13.8">
      <c r="A29" s="18" t="s">
        <v>1600</v>
      </c>
      <c r="B29">
        <f>60+L3</f>
        <v>66</v>
      </c>
      <c r="C29" s="1" t="s">
        <v>1569</v>
      </c>
      <c r="D29" s="1" t="s">
        <v>1603</v>
      </c>
      <c r="E29">
        <f>65+K3</f>
        <v>70</v>
      </c>
      <c r="F29" s="1" t="s">
        <v>1569</v>
      </c>
      <c r="G29" s="20" t="s">
        <v>1568</v>
      </c>
      <c r="H29" s="20">
        <f>10*LOG10((10^((60+L3)/10)*(1+J3)+10^((65+K3)/10)*(2+I3/3))/(1+J3+2+I3/3))</f>
        <v>67.950571929812824</v>
      </c>
      <c r="I29" s="20" t="s">
        <v>1569</v>
      </c>
    </row>
    <row r="30" spans="1:14" ht="13.8">
      <c r="A30" s="18" t="s">
        <v>1601</v>
      </c>
      <c r="B30">
        <f>1+J3</f>
        <v>5</v>
      </c>
      <c r="C30" s="1" t="s">
        <v>1602</v>
      </c>
      <c r="D30" s="1" t="s">
        <v>1604</v>
      </c>
      <c r="E30">
        <f>2+I3/3</f>
        <v>3</v>
      </c>
      <c r="F30" s="1" t="s">
        <v>1602</v>
      </c>
    </row>
    <row r="31" spans="1:14" ht="21">
      <c r="A31" s="19"/>
    </row>
    <row r="32" spans="1:14" ht="14.4">
      <c r="A32" s="17" t="s">
        <v>10</v>
      </c>
    </row>
    <row r="33" spans="1:9" ht="13.8">
      <c r="A33" s="18" t="s">
        <v>1579</v>
      </c>
      <c r="B33">
        <f>300+J3*20</f>
        <v>380</v>
      </c>
      <c r="C33" s="1" t="s">
        <v>1580</v>
      </c>
      <c r="D33" s="1" t="s">
        <v>1606</v>
      </c>
      <c r="E33">
        <f>90+K3</f>
        <v>95</v>
      </c>
      <c r="F33" s="1" t="s">
        <v>1598</v>
      </c>
    </row>
    <row r="34" spans="1:9" ht="13.8">
      <c r="A34" s="18" t="s">
        <v>1566</v>
      </c>
      <c r="B34">
        <f>1+L3/10</f>
        <v>1.6</v>
      </c>
      <c r="C34" s="1" t="s">
        <v>1567</v>
      </c>
      <c r="D34" s="1" t="s">
        <v>1607</v>
      </c>
      <c r="E34">
        <f>90+K3+10*LOG10(4/(0.16*(300+J3*20)/(1+L3/10)))</f>
        <v>85.222763947111517</v>
      </c>
      <c r="F34" s="1" t="s">
        <v>1598</v>
      </c>
    </row>
    <row r="35" spans="1:9">
      <c r="A35" s="1" t="s">
        <v>1605</v>
      </c>
      <c r="B35">
        <f>0.16*(300+J3*20)/(1+L3/10)</f>
        <v>38</v>
      </c>
      <c r="C35" s="1" t="s">
        <v>1582</v>
      </c>
      <c r="D35" s="20" t="s">
        <v>1608</v>
      </c>
      <c r="E35" s="20">
        <f>90+K3+10*LOG10(4/(0.16*(300+J3*20)/(1+L3/10)))+3</f>
        <v>88.222763947111517</v>
      </c>
      <c r="F35" s="20" t="s">
        <v>1598</v>
      </c>
    </row>
    <row r="36" spans="1:9">
      <c r="A36" s="1"/>
      <c r="C36" s="1"/>
      <c r="D36" s="20"/>
      <c r="E36" s="20"/>
      <c r="F36" s="20"/>
    </row>
    <row r="37" spans="1:9" ht="14.4">
      <c r="A37" s="17" t="s">
        <v>11</v>
      </c>
    </row>
    <row r="38" spans="1:9" ht="13.8">
      <c r="A38" s="18" t="s">
        <v>1609</v>
      </c>
      <c r="B38">
        <f>3+L3/10</f>
        <v>3.6</v>
      </c>
      <c r="C38" s="1" t="s">
        <v>1571</v>
      </c>
      <c r="D38" s="1" t="s">
        <v>1611</v>
      </c>
      <c r="E38">
        <f>2*SQRT(((10+K3)/2)^2+(3+L3/10)^2)-(10+K3)</f>
        <v>1.6385095486344596</v>
      </c>
      <c r="F38" s="1" t="s">
        <v>1571</v>
      </c>
      <c r="G38" s="20" t="s">
        <v>1612</v>
      </c>
      <c r="H38" s="20">
        <f>10*LOG10(3+40*(2*SQRT(((10+K3)/2)^2+(3+L3/10)^2)-(10+K3))*100*(1+J3)/340)</f>
        <v>19.973117292502717</v>
      </c>
      <c r="I38" s="20" t="s">
        <v>1598</v>
      </c>
    </row>
    <row r="39" spans="1:9" ht="13.8">
      <c r="A39" s="18" t="s">
        <v>1610</v>
      </c>
      <c r="B39">
        <f>10+K3</f>
        <v>15</v>
      </c>
      <c r="C39" s="1" t="s">
        <v>1571</v>
      </c>
      <c r="D39" s="1" t="s">
        <v>1613</v>
      </c>
      <c r="E39">
        <f>100*(1+J3)</f>
        <v>500</v>
      </c>
      <c r="F39" s="1" t="s">
        <v>1614</v>
      </c>
    </row>
    <row r="40" spans="1:9" ht="21">
      <c r="A40" s="19"/>
    </row>
    <row r="41" spans="1:9" ht="14.4">
      <c r="A41" s="17" t="s">
        <v>12</v>
      </c>
    </row>
    <row r="42" spans="1:9" ht="13.8">
      <c r="A42" s="18" t="s">
        <v>1615</v>
      </c>
      <c r="B42">
        <f>80+L3</f>
        <v>86</v>
      </c>
      <c r="C42" s="1" t="s">
        <v>1598</v>
      </c>
      <c r="D42" s="20" t="s">
        <v>1617</v>
      </c>
      <c r="E42" s="20">
        <f>80+L3-(80+K3)</f>
        <v>1</v>
      </c>
      <c r="F42" s="20" t="s">
        <v>1598</v>
      </c>
    </row>
    <row r="43" spans="1:9" ht="13.8">
      <c r="A43" s="18" t="s">
        <v>1616</v>
      </c>
      <c r="B43">
        <f>80+K3</f>
        <v>85</v>
      </c>
      <c r="C43" s="1" t="s">
        <v>1598</v>
      </c>
    </row>
    <row r="44" spans="1:9" ht="21">
      <c r="A44" s="19" t="s">
        <v>1563</v>
      </c>
    </row>
    <row r="45" spans="1:9" ht="14.4">
      <c r="A45" s="17" t="s">
        <v>1565</v>
      </c>
    </row>
    <row r="46" spans="1:9">
      <c r="A46" s="1" t="s">
        <v>1618</v>
      </c>
      <c r="B46">
        <f>2^(5+L3)</f>
        <v>2048</v>
      </c>
      <c r="C46" s="1" t="s">
        <v>1619</v>
      </c>
    </row>
    <row r="47" spans="1:9">
      <c r="A47" s="20" t="s">
        <v>1620</v>
      </c>
      <c r="B47" s="20">
        <f>((2^(5+L3))/2+1)/48</f>
        <v>21.354166666666668</v>
      </c>
      <c r="C47" s="20" t="s">
        <v>1621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58" r:id="rId4">
          <objectPr defaultSize="0" r:id="rId5">
            <anchor moveWithCells="1">
              <from>
                <xdr:col>6</xdr:col>
                <xdr:colOff>0</xdr:colOff>
                <xdr:row>5</xdr:row>
                <xdr:rowOff>15240</xdr:rowOff>
              </from>
              <to>
                <xdr:col>10</xdr:col>
                <xdr:colOff>190500</xdr:colOff>
                <xdr:row>7</xdr:row>
                <xdr:rowOff>99060</xdr:rowOff>
              </to>
            </anchor>
          </objectPr>
        </oleObject>
      </mc:Choice>
      <mc:Fallback>
        <oleObject progId="Equation.3" shapeId="2058" r:id="rId4"/>
      </mc:Fallback>
    </mc:AlternateContent>
    <mc:AlternateContent xmlns:mc="http://schemas.openxmlformats.org/markup-compatibility/2006">
      <mc:Choice Requires="x14">
        <oleObject progId="Equation.3" shapeId="2059" r:id="rId6">
          <objectPr defaultSize="0" r:id="rId7">
            <anchor moveWithCells="1">
              <from>
                <xdr:col>7</xdr:col>
                <xdr:colOff>15240</xdr:colOff>
                <xdr:row>10</xdr:row>
                <xdr:rowOff>38100</xdr:rowOff>
              </from>
              <to>
                <xdr:col>15</xdr:col>
                <xdr:colOff>38100</xdr:colOff>
                <xdr:row>11</xdr:row>
                <xdr:rowOff>106680</xdr:rowOff>
              </to>
            </anchor>
          </objectPr>
        </oleObject>
      </mc:Choice>
      <mc:Fallback>
        <oleObject progId="Equation.3" shapeId="2059" r:id="rId6"/>
      </mc:Fallback>
    </mc:AlternateContent>
    <mc:AlternateContent xmlns:mc="http://schemas.openxmlformats.org/markup-compatibility/2006">
      <mc:Choice Requires="x14">
        <oleObject progId="Equation.3" shapeId="2060" r:id="rId8">
          <objectPr defaultSize="0" autoPict="0" r:id="rId9">
            <anchor moveWithCells="1" sizeWithCells="1">
              <from>
                <xdr:col>8</xdr:col>
                <xdr:colOff>0</xdr:colOff>
                <xdr:row>13</xdr:row>
                <xdr:rowOff>0</xdr:rowOff>
              </from>
              <to>
                <xdr:col>10</xdr:col>
                <xdr:colOff>441960</xdr:colOff>
                <xdr:row>15</xdr:row>
                <xdr:rowOff>228600</xdr:rowOff>
              </to>
            </anchor>
          </objectPr>
        </oleObject>
      </mc:Choice>
      <mc:Fallback>
        <oleObject progId="Equation.3" shapeId="2060" r:id="rId8"/>
      </mc:Fallback>
    </mc:AlternateContent>
    <mc:AlternateContent xmlns:mc="http://schemas.openxmlformats.org/markup-compatibility/2006">
      <mc:Choice Requires="x14">
        <oleObject progId="Equation.3" shapeId="2061" r:id="rId10">
          <objectPr defaultSize="0" autoPict="0" r:id="rId11">
            <anchor moveWithCells="1">
              <from>
                <xdr:col>6</xdr:col>
                <xdr:colOff>30480</xdr:colOff>
                <xdr:row>17</xdr:row>
                <xdr:rowOff>30480</xdr:rowOff>
              </from>
              <to>
                <xdr:col>7</xdr:col>
                <xdr:colOff>563880</xdr:colOff>
                <xdr:row>19</xdr:row>
                <xdr:rowOff>38100</xdr:rowOff>
              </to>
            </anchor>
          </objectPr>
        </oleObject>
      </mc:Choice>
      <mc:Fallback>
        <oleObject progId="Equation.3" shapeId="2061" r:id="rId10"/>
      </mc:Fallback>
    </mc:AlternateContent>
    <mc:AlternateContent xmlns:mc="http://schemas.openxmlformats.org/markup-compatibility/2006">
      <mc:Choice Requires="x14">
        <oleObject progId="Equation.3" shapeId="2063" r:id="rId12">
          <objectPr defaultSize="0" r:id="rId13">
            <anchor moveWithCells="1">
              <from>
                <xdr:col>9</xdr:col>
                <xdr:colOff>22860</xdr:colOff>
                <xdr:row>28</xdr:row>
                <xdr:rowOff>30480</xdr:rowOff>
              </from>
              <to>
                <xdr:col>13</xdr:col>
                <xdr:colOff>60960</xdr:colOff>
                <xdr:row>30</xdr:row>
                <xdr:rowOff>160020</xdr:rowOff>
              </to>
            </anchor>
          </objectPr>
        </oleObject>
      </mc:Choice>
      <mc:Fallback>
        <oleObject progId="Equation.3" shapeId="2063" r:id="rId12"/>
      </mc:Fallback>
    </mc:AlternateContent>
    <mc:AlternateContent xmlns:mc="http://schemas.openxmlformats.org/markup-compatibility/2006">
      <mc:Choice Requires="x14">
        <oleObject progId="Equation.3" shapeId="2065" r:id="rId14">
          <objectPr defaultSize="0" r:id="rId15">
            <anchor moveWithCells="1">
              <from>
                <xdr:col>6</xdr:col>
                <xdr:colOff>22860</xdr:colOff>
                <xdr:row>32</xdr:row>
                <xdr:rowOff>38100</xdr:rowOff>
              </from>
              <to>
                <xdr:col>9</xdr:col>
                <xdr:colOff>121920</xdr:colOff>
                <xdr:row>34</xdr:row>
                <xdr:rowOff>121920</xdr:rowOff>
              </to>
            </anchor>
          </objectPr>
        </oleObject>
      </mc:Choice>
      <mc:Fallback>
        <oleObject progId="Equation.3" shapeId="2065" r:id="rId14"/>
      </mc:Fallback>
    </mc:AlternateContent>
    <mc:AlternateContent xmlns:mc="http://schemas.openxmlformats.org/markup-compatibility/2006">
      <mc:Choice Requires="x14">
        <oleObject progId="Equation.3" shapeId="2066" r:id="rId16">
          <objectPr defaultSize="0" r:id="rId17">
            <anchor moveWithCells="1">
              <from>
                <xdr:col>8</xdr:col>
                <xdr:colOff>441960</xdr:colOff>
                <xdr:row>37</xdr:row>
                <xdr:rowOff>53340</xdr:rowOff>
              </from>
              <to>
                <xdr:col>11</xdr:col>
                <xdr:colOff>441960</xdr:colOff>
                <xdr:row>39</xdr:row>
                <xdr:rowOff>137160</xdr:rowOff>
              </to>
            </anchor>
          </objectPr>
        </oleObject>
      </mc:Choice>
      <mc:Fallback>
        <oleObject progId="Equation.3" shapeId="2066" r:id="rId16"/>
      </mc:Fallback>
    </mc:AlternateContent>
    <mc:AlternateContent xmlns:mc="http://schemas.openxmlformats.org/markup-compatibility/2006">
      <mc:Choice Requires="x14">
        <oleObject progId="Equation.3" shapeId="2067" r:id="rId18">
          <objectPr defaultSize="0" r:id="rId19">
            <anchor moveWithCells="1">
              <from>
                <xdr:col>3</xdr:col>
                <xdr:colOff>38100</xdr:colOff>
                <xdr:row>42</xdr:row>
                <xdr:rowOff>53340</xdr:rowOff>
              </from>
              <to>
                <xdr:col>5</xdr:col>
                <xdr:colOff>205740</xdr:colOff>
                <xdr:row>43</xdr:row>
                <xdr:rowOff>106680</xdr:rowOff>
              </to>
            </anchor>
          </objectPr>
        </oleObject>
      </mc:Choice>
      <mc:Fallback>
        <oleObject progId="Equation.3" shapeId="2067" r:id="rId18"/>
      </mc:Fallback>
    </mc:AlternateContent>
    <mc:AlternateContent xmlns:mc="http://schemas.openxmlformats.org/markup-compatibility/2006">
      <mc:Choice Requires="x14">
        <oleObject progId="Equation.3" shapeId="2069" r:id="rId20">
          <objectPr defaultSize="0" r:id="rId21">
            <anchor moveWithCells="1">
              <from>
                <xdr:col>3</xdr:col>
                <xdr:colOff>30480</xdr:colOff>
                <xdr:row>45</xdr:row>
                <xdr:rowOff>30480</xdr:rowOff>
              </from>
              <to>
                <xdr:col>5</xdr:col>
                <xdr:colOff>563880</xdr:colOff>
                <xdr:row>48</xdr:row>
                <xdr:rowOff>7620</xdr:rowOff>
              </to>
            </anchor>
          </objectPr>
        </oleObject>
      </mc:Choice>
      <mc:Fallback>
        <oleObject progId="Equation.3" shapeId="2069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Angelo Farina</cp:lastModifiedBy>
  <dcterms:created xsi:type="dcterms:W3CDTF">2014-12-19T21:13:19Z</dcterms:created>
  <dcterms:modified xsi:type="dcterms:W3CDTF">2014-12-20T13:26:56Z</dcterms:modified>
</cp:coreProperties>
</file>